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51600" windowHeight="17316"/>
  </bookViews>
  <sheets>
    <sheet name="9 TV" sheetId="1" r:id="rId1"/>
    <sheet name="10 TV" sheetId="6" r:id="rId2"/>
    <sheet name="Primemerná spotreba" sheetId="8" r:id="rId3"/>
    <sheet name="Kombinácia náhradných spotrieb" sheetId="9" r:id="rId4"/>
  </sheets>
  <definedNames>
    <definedName name="kneumoznil">'10 TV'!$C$85</definedName>
    <definedName name="kporucha">'10 TV'!$C$87</definedName>
    <definedName name="kposkodil">'10 TV'!$C$86</definedName>
    <definedName name="p5a6">'10 TV'!$C$82</definedName>
    <definedName name="pporucha">'10 TV'!$C$83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9" l="1"/>
  <c r="F17" i="9"/>
  <c r="F19" i="9"/>
  <c r="F9" i="9"/>
  <c r="F8" i="9"/>
  <c r="F7" i="9"/>
  <c r="C74" i="6"/>
  <c r="K34" i="6"/>
  <c r="K33" i="6"/>
  <c r="K21" i="6"/>
  <c r="C103" i="6" l="1"/>
  <c r="D120" i="6"/>
  <c r="E69" i="6"/>
  <c r="D69" i="6"/>
  <c r="C75" i="6" s="1"/>
  <c r="L67" i="6"/>
  <c r="K67" i="6"/>
  <c r="C126" i="6" l="1"/>
  <c r="D119" i="6"/>
  <c r="E9" i="8" l="1"/>
  <c r="D9" i="8"/>
  <c r="C9" i="8"/>
  <c r="F14" i="8" l="1"/>
  <c r="F13" i="8"/>
  <c r="K43" i="6"/>
  <c r="K18" i="6"/>
  <c r="C88" i="6" l="1"/>
  <c r="C89" i="6" s="1"/>
  <c r="L52" i="6"/>
  <c r="I35" i="6"/>
  <c r="I32" i="6"/>
  <c r="O32" i="6" s="1"/>
  <c r="K2" i="6"/>
  <c r="L2" i="6"/>
  <c r="I14" i="6"/>
  <c r="O14" i="6" s="1"/>
  <c r="I13" i="6"/>
  <c r="O13" i="6" s="1"/>
  <c r="I11" i="6"/>
  <c r="O11" i="6" s="1"/>
  <c r="I10" i="6"/>
  <c r="O10" i="6" s="1"/>
  <c r="L68" i="6"/>
  <c r="K68" i="6"/>
  <c r="L66" i="6"/>
  <c r="K66" i="6"/>
  <c r="L65" i="6"/>
  <c r="K65" i="6"/>
  <c r="L64" i="6"/>
  <c r="K64" i="6"/>
  <c r="L63" i="6"/>
  <c r="K63" i="6"/>
  <c r="L62" i="6"/>
  <c r="K62" i="6"/>
  <c r="L61" i="6"/>
  <c r="K61" i="6"/>
  <c r="L60" i="6"/>
  <c r="K60" i="6"/>
  <c r="L59" i="6"/>
  <c r="K59" i="6"/>
  <c r="L58" i="6"/>
  <c r="K58" i="6"/>
  <c r="L57" i="6"/>
  <c r="K57" i="6"/>
  <c r="L56" i="6"/>
  <c r="K56" i="6"/>
  <c r="L55" i="6"/>
  <c r="K55" i="6"/>
  <c r="L54" i="6"/>
  <c r="K54" i="6"/>
  <c r="K53" i="6"/>
  <c r="K52" i="6"/>
  <c r="L51" i="6"/>
  <c r="K51" i="6"/>
  <c r="L50" i="6"/>
  <c r="K50" i="6"/>
  <c r="L49" i="6"/>
  <c r="K49" i="6"/>
  <c r="L46" i="6"/>
  <c r="K46" i="6"/>
  <c r="L45" i="6"/>
  <c r="K45" i="6"/>
  <c r="L44" i="6"/>
  <c r="K44" i="6"/>
  <c r="L40" i="6"/>
  <c r="K40" i="6"/>
  <c r="L39" i="6"/>
  <c r="K39" i="6"/>
  <c r="L38" i="6"/>
  <c r="K38" i="6"/>
  <c r="L31" i="6"/>
  <c r="K31" i="6"/>
  <c r="L30" i="6"/>
  <c r="K30" i="6"/>
  <c r="L29" i="6"/>
  <c r="K29" i="6"/>
  <c r="K28" i="6"/>
  <c r="L25" i="6"/>
  <c r="K25" i="6"/>
  <c r="L24" i="6"/>
  <c r="K24" i="6"/>
  <c r="L23" i="6"/>
  <c r="K23" i="6"/>
  <c r="K22" i="6"/>
  <c r="L19" i="6"/>
  <c r="K19" i="6"/>
  <c r="L18" i="6"/>
  <c r="L15" i="6"/>
  <c r="K15" i="6"/>
  <c r="L12" i="6"/>
  <c r="K12" i="6"/>
  <c r="L9" i="6"/>
  <c r="K9" i="6"/>
  <c r="C77" i="6" l="1"/>
  <c r="K69" i="6"/>
  <c r="C81" i="6" s="1"/>
  <c r="C83" i="6" s="1"/>
  <c r="L69" i="6"/>
  <c r="C76" i="6"/>
  <c r="C92" i="6"/>
  <c r="C94" i="6" s="1"/>
  <c r="C93" i="6"/>
  <c r="J14" i="6" l="1"/>
  <c r="J6" i="6"/>
  <c r="N67" i="6"/>
  <c r="N68" i="6"/>
  <c r="J20" i="6"/>
  <c r="N41" i="6"/>
  <c r="N39" i="6"/>
  <c r="N9" i="6"/>
  <c r="N32" i="6"/>
  <c r="N23" i="6"/>
  <c r="N4" i="6"/>
  <c r="N26" i="6"/>
  <c r="N8" i="6"/>
  <c r="N52" i="6"/>
  <c r="N7" i="6"/>
  <c r="N20" i="6"/>
  <c r="N11" i="6"/>
  <c r="N35" i="6"/>
  <c r="N6" i="6"/>
  <c r="N10" i="6"/>
  <c r="N12" i="6"/>
  <c r="N38" i="6"/>
  <c r="N40" i="6"/>
  <c r="N14" i="6"/>
  <c r="N13" i="6"/>
  <c r="C125" i="6" l="1"/>
  <c r="F148" i="6"/>
  <c r="E148" i="6"/>
  <c r="C148" i="6"/>
  <c r="D147" i="6"/>
  <c r="F147" i="6" s="1"/>
  <c r="D146" i="6"/>
  <c r="F146" i="6" s="1"/>
  <c r="D145" i="6"/>
  <c r="F145" i="6" s="1"/>
  <c r="D144" i="6"/>
  <c r="F144" i="6" s="1"/>
  <c r="D143" i="6"/>
  <c r="F143" i="6" s="1"/>
  <c r="D142" i="6"/>
  <c r="F142" i="6" s="1"/>
  <c r="D141" i="6"/>
  <c r="F141" i="6" s="1"/>
  <c r="D140" i="6"/>
  <c r="F140" i="6" s="1"/>
  <c r="D139" i="6"/>
  <c r="F139" i="6" s="1"/>
  <c r="D138" i="6"/>
  <c r="D137" i="6"/>
  <c r="F137" i="6" s="1"/>
  <c r="D136" i="6"/>
  <c r="F136" i="6" s="1"/>
  <c r="C104" i="6"/>
  <c r="F138" i="6" l="1"/>
  <c r="I2" i="6"/>
  <c r="C127" i="6"/>
  <c r="C124" i="6" s="1"/>
  <c r="I47" i="6"/>
  <c r="I48" i="6"/>
  <c r="I3" i="6"/>
  <c r="O3" i="6" s="1"/>
  <c r="N3" i="6"/>
  <c r="I17" i="6"/>
  <c r="I16" i="6"/>
  <c r="C102" i="6"/>
  <c r="O2" i="6" l="1"/>
  <c r="N2" i="6"/>
  <c r="O48" i="6"/>
  <c r="N48" i="6"/>
  <c r="O47" i="6"/>
  <c r="N47" i="6"/>
  <c r="N16" i="6"/>
  <c r="O16" i="6"/>
  <c r="N17" i="6"/>
  <c r="O17" i="6"/>
  <c r="J32" i="6"/>
  <c r="C80" i="6"/>
  <c r="C82" i="6" s="1"/>
  <c r="J10" i="6" l="1"/>
  <c r="J41" i="6"/>
  <c r="J27" i="6"/>
  <c r="J26" i="6"/>
  <c r="J42" i="6"/>
  <c r="O69" i="6"/>
  <c r="C78" i="6" s="1"/>
  <c r="J48" i="6"/>
  <c r="J47" i="6"/>
  <c r="J17" i="6"/>
  <c r="J5" i="6"/>
  <c r="J4" i="6"/>
  <c r="N60" i="6"/>
  <c r="N24" i="6"/>
  <c r="N59" i="6"/>
  <c r="N46" i="6"/>
  <c r="N45" i="6"/>
  <c r="N44" i="6"/>
  <c r="N55" i="6"/>
  <c r="N31" i="6"/>
  <c r="N19" i="6"/>
  <c r="N66" i="6"/>
  <c r="N54" i="6"/>
  <c r="N30" i="6"/>
  <c r="N18" i="6"/>
  <c r="N65" i="6"/>
  <c r="N29" i="6"/>
  <c r="N64" i="6"/>
  <c r="N15" i="6"/>
  <c r="N49" i="6"/>
  <c r="N25" i="6"/>
  <c r="N58" i="6"/>
  <c r="N5" i="6"/>
  <c r="N57" i="6"/>
  <c r="N56" i="6"/>
  <c r="N63" i="6"/>
  <c r="N51" i="6"/>
  <c r="N62" i="6"/>
  <c r="N50" i="6"/>
  <c r="N61" i="6"/>
  <c r="C18" i="1"/>
  <c r="C20" i="1" s="1"/>
  <c r="C24" i="1" s="1"/>
  <c r="C25" i="1" s="1"/>
  <c r="C8" i="1"/>
  <c r="N69" i="6" l="1"/>
  <c r="J69" i="6"/>
  <c r="C79" i="6" s="1"/>
  <c r="C95" i="6" l="1"/>
  <c r="C4" i="1"/>
  <c r="C7" i="1" s="1"/>
  <c r="C9" i="1" s="1"/>
  <c r="M3" i="6" l="1"/>
  <c r="M2" i="6"/>
  <c r="M13" i="6"/>
  <c r="M14" i="6"/>
  <c r="M67" i="6"/>
  <c r="M68" i="6"/>
  <c r="M48" i="6"/>
  <c r="M47" i="6"/>
  <c r="M60" i="6"/>
  <c r="M36" i="6"/>
  <c r="M24" i="6"/>
  <c r="M12" i="6"/>
  <c r="M61" i="6"/>
  <c r="M10" i="6"/>
  <c r="M59" i="6"/>
  <c r="M35" i="6"/>
  <c r="M23" i="6"/>
  <c r="M11" i="6"/>
  <c r="M66" i="6"/>
  <c r="M65" i="6"/>
  <c r="M52" i="6"/>
  <c r="M28" i="6"/>
  <c r="M63" i="6"/>
  <c r="M62" i="6"/>
  <c r="M26" i="6"/>
  <c r="M37" i="6"/>
  <c r="M4" i="6"/>
  <c r="M58" i="6"/>
  <c r="M46" i="6"/>
  <c r="M34" i="6"/>
  <c r="M22" i="6"/>
  <c r="M9" i="6"/>
  <c r="M56" i="6"/>
  <c r="M20" i="6"/>
  <c r="M57" i="6"/>
  <c r="M45" i="6"/>
  <c r="M33" i="6"/>
  <c r="M21" i="6"/>
  <c r="M8" i="6"/>
  <c r="M32" i="6"/>
  <c r="M55" i="6"/>
  <c r="M31" i="6"/>
  <c r="M19" i="6"/>
  <c r="M6" i="6"/>
  <c r="M42" i="6"/>
  <c r="M30" i="6"/>
  <c r="M5" i="6"/>
  <c r="M17" i="6"/>
  <c r="M40" i="6"/>
  <c r="M16" i="6"/>
  <c r="M51" i="6"/>
  <c r="M15" i="6"/>
  <c r="M50" i="6"/>
  <c r="M25" i="6"/>
  <c r="M44" i="6"/>
  <c r="M7" i="6"/>
  <c r="M43" i="6"/>
  <c r="M54" i="6"/>
  <c r="M18" i="6"/>
  <c r="M53" i="6"/>
  <c r="M29" i="6"/>
  <c r="M64" i="6"/>
  <c r="M39" i="6"/>
  <c r="M27" i="6"/>
  <c r="M38" i="6"/>
  <c r="M49" i="6"/>
  <c r="M41" i="6"/>
  <c r="M69" i="6" l="1"/>
  <c r="P68" i="6"/>
  <c r="C84" i="6" l="1"/>
  <c r="P32" i="6" s="1"/>
  <c r="Q32" i="6" s="1"/>
  <c r="P3" i="6" l="1"/>
  <c r="Q3" i="6" s="1"/>
  <c r="P67" i="6"/>
  <c r="Q67" i="6" s="1"/>
  <c r="P63" i="6"/>
  <c r="Q63" i="6" s="1"/>
  <c r="P35" i="6"/>
  <c r="Q35" i="6" s="1"/>
  <c r="P47" i="6"/>
  <c r="Q47" i="6" s="1"/>
  <c r="P58" i="6"/>
  <c r="Q58" i="6" s="1"/>
  <c r="P52" i="6"/>
  <c r="Q52" i="6" s="1"/>
  <c r="P16" i="6"/>
  <c r="Q16" i="6" s="1"/>
  <c r="P26" i="6"/>
  <c r="Q26" i="6" s="1"/>
  <c r="P24" i="6"/>
  <c r="Q24" i="6" s="1"/>
  <c r="P49" i="6"/>
  <c r="Q49" i="6" s="1"/>
  <c r="P10" i="6"/>
  <c r="Q10" i="6" s="1"/>
  <c r="P29" i="6"/>
  <c r="Q29" i="6" s="1"/>
  <c r="P2" i="6"/>
  <c r="P61" i="6"/>
  <c r="Q61" i="6" s="1"/>
  <c r="P40" i="6"/>
  <c r="Q40" i="6" s="1"/>
  <c r="P38" i="6"/>
  <c r="Q38" i="6" s="1"/>
  <c r="P45" i="6"/>
  <c r="Q45" i="6" s="1"/>
  <c r="P46" i="6"/>
  <c r="Q46" i="6" s="1"/>
  <c r="P15" i="6"/>
  <c r="Q15" i="6" s="1"/>
  <c r="P50" i="6"/>
  <c r="Q50" i="6" s="1"/>
  <c r="P41" i="6"/>
  <c r="Q41" i="6" s="1"/>
  <c r="P4" i="6"/>
  <c r="Q4" i="6" s="1"/>
  <c r="P14" i="6"/>
  <c r="Q14" i="6" s="1"/>
  <c r="P44" i="6"/>
  <c r="Q44" i="6" s="1"/>
  <c r="P54" i="6"/>
  <c r="Q54" i="6" s="1"/>
  <c r="P59" i="6"/>
  <c r="Q59" i="6" s="1"/>
  <c r="P7" i="6"/>
  <c r="Q7" i="6" s="1"/>
  <c r="P17" i="6"/>
  <c r="Q17" i="6" s="1"/>
  <c r="P39" i="6"/>
  <c r="Q39" i="6" s="1"/>
  <c r="P9" i="6"/>
  <c r="Q9" i="6" s="1"/>
  <c r="P30" i="6"/>
  <c r="Q30" i="6" s="1"/>
  <c r="P66" i="6"/>
  <c r="Q66" i="6" s="1"/>
  <c r="P64" i="6"/>
  <c r="Q64" i="6" s="1"/>
  <c r="P19" i="6"/>
  <c r="Q19" i="6" s="1"/>
  <c r="P65" i="6"/>
  <c r="Q65" i="6" s="1"/>
  <c r="P11" i="6"/>
  <c r="Q11" i="6" s="1"/>
  <c r="P6" i="6"/>
  <c r="Q6" i="6" s="1"/>
  <c r="P48" i="6"/>
  <c r="Q48" i="6" s="1"/>
  <c r="P5" i="6"/>
  <c r="Q5" i="6" s="1"/>
  <c r="P25" i="6"/>
  <c r="Q25" i="6" s="1"/>
  <c r="P31" i="6"/>
  <c r="Q31" i="6" s="1"/>
  <c r="P23" i="6"/>
  <c r="Q23" i="6" s="1"/>
  <c r="P18" i="6"/>
  <c r="Q18" i="6" s="1"/>
  <c r="P51" i="6"/>
  <c r="Q51" i="6" s="1"/>
  <c r="P12" i="6"/>
  <c r="Q12" i="6" s="1"/>
  <c r="P13" i="6"/>
  <c r="Q13" i="6" s="1"/>
  <c r="P60" i="6"/>
  <c r="Q60" i="6" s="1"/>
  <c r="P57" i="6"/>
  <c r="Q57" i="6" s="1"/>
  <c r="P55" i="6"/>
  <c r="Q55" i="6" s="1"/>
  <c r="P62" i="6"/>
  <c r="Q62" i="6" s="1"/>
  <c r="P56" i="6"/>
  <c r="Q56" i="6" s="1"/>
  <c r="P20" i="6"/>
  <c r="Q20" i="6" s="1"/>
  <c r="P8" i="6"/>
  <c r="Q8" i="6" s="1"/>
  <c r="Q69" i="6" l="1"/>
</calcChain>
</file>

<file path=xl/comments1.xml><?xml version="1.0" encoding="utf-8"?>
<comments xmlns="http://schemas.openxmlformats.org/spreadsheetml/2006/main">
  <authors>
    <author>Autor</author>
  </authors>
  <commentList>
    <comment ref="K33" authorId="0" shapeId="0">
      <text>
        <r>
          <rPr>
            <b/>
            <sz val="9"/>
            <color indexed="81"/>
            <rFont val="Segoe UI"/>
            <family val="2"/>
            <charset val="238"/>
          </rPr>
          <t>Do priemeru ide súčet za vodomer.</t>
        </r>
      </text>
    </comment>
    <comment ref="K34" authorId="0" shapeId="0">
      <text>
        <r>
          <rPr>
            <b/>
            <sz val="9"/>
            <color indexed="81"/>
            <rFont val="Segoe UI"/>
            <family val="2"/>
            <charset val="238"/>
          </rPr>
          <t>Do priemeru ide súčet za vodomer.</t>
        </r>
      </text>
    </comment>
  </commentList>
</comments>
</file>

<file path=xl/sharedStrings.xml><?xml version="1.0" encoding="utf-8"?>
<sst xmlns="http://schemas.openxmlformats.org/spreadsheetml/2006/main" count="417" uniqueCount="316">
  <si>
    <t>kWh</t>
  </si>
  <si>
    <t>Q =</t>
  </si>
  <si>
    <t xml:space="preserve">Zz = </t>
  </si>
  <si>
    <t>%</t>
  </si>
  <si>
    <t>VLASNEIDUZ</t>
  </si>
  <si>
    <t>MENO</t>
  </si>
  <si>
    <t>CBYT</t>
  </si>
  <si>
    <t>Milan</t>
  </si>
  <si>
    <t>Edita</t>
  </si>
  <si>
    <t>Martina</t>
  </si>
  <si>
    <t>Eva</t>
  </si>
  <si>
    <t>Peter</t>
  </si>
  <si>
    <t>Miroslav</t>
  </si>
  <si>
    <t>Viliam</t>
  </si>
  <si>
    <t>Daniel</t>
  </si>
  <si>
    <t>Richard</t>
  </si>
  <si>
    <t>Matej</t>
  </si>
  <si>
    <t>Jana</t>
  </si>
  <si>
    <t>Miroslava</t>
  </si>
  <si>
    <t>Jaroslav</t>
  </si>
  <si>
    <t>Zuzana</t>
  </si>
  <si>
    <t>Norbert</t>
  </si>
  <si>
    <t>Jozef</t>
  </si>
  <si>
    <t>Stanislav</t>
  </si>
  <si>
    <t>Anna</t>
  </si>
  <si>
    <t>Judita</t>
  </si>
  <si>
    <t>Imrich</t>
  </si>
  <si>
    <t>Juraj</t>
  </si>
  <si>
    <t>Helena</t>
  </si>
  <si>
    <t>Vlastimil</t>
  </si>
  <si>
    <t>Martin</t>
  </si>
  <si>
    <t>Popis</t>
  </si>
  <si>
    <t>0101</t>
  </si>
  <si>
    <t>0201</t>
  </si>
  <si>
    <t>0301</t>
  </si>
  <si>
    <t>0401</t>
  </si>
  <si>
    <t>0701</t>
  </si>
  <si>
    <t>0802</t>
  </si>
  <si>
    <t>1001</t>
  </si>
  <si>
    <t>1201</t>
  </si>
  <si>
    <t>1302</t>
  </si>
  <si>
    <t>1401</t>
  </si>
  <si>
    <t>1601</t>
  </si>
  <si>
    <t>1901</t>
  </si>
  <si>
    <t>2001</t>
  </si>
  <si>
    <t>2101</t>
  </si>
  <si>
    <t>2201</t>
  </si>
  <si>
    <t>2302</t>
  </si>
  <si>
    <t>2401</t>
  </si>
  <si>
    <t>2501</t>
  </si>
  <si>
    <t>2601</t>
  </si>
  <si>
    <t>2701</t>
  </si>
  <si>
    <t>2801</t>
  </si>
  <si>
    <t>2901</t>
  </si>
  <si>
    <t>3001</t>
  </si>
  <si>
    <t>3101</t>
  </si>
  <si>
    <t>3401</t>
  </si>
  <si>
    <t>3501</t>
  </si>
  <si>
    <t>3601</t>
  </si>
  <si>
    <t>3701</t>
  </si>
  <si>
    <t>3801</t>
  </si>
  <si>
    <t>3901</t>
  </si>
  <si>
    <t>4001</t>
  </si>
  <si>
    <t>4101</t>
  </si>
  <si>
    <t>4201</t>
  </si>
  <si>
    <t>4301</t>
  </si>
  <si>
    <t>4401</t>
  </si>
  <si>
    <t>4601</t>
  </si>
  <si>
    <t>4701</t>
  </si>
  <si>
    <t>4801</t>
  </si>
  <si>
    <t>EUR</t>
  </si>
  <si>
    <t>koeficient par. 10 ods. 6</t>
  </si>
  <si>
    <t>koeficient par. 10 ods. 5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</si>
  <si>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</si>
  <si>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</si>
  <si>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</si>
  <si>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</si>
  <si>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</si>
  <si>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</si>
  <si>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</si>
  <si>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</si>
  <si>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</si>
  <si>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</si>
  <si>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</si>
  <si>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</si>
  <si>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počet dní 2023</t>
  </si>
  <si>
    <t>Ján</t>
  </si>
  <si>
    <t>Dušan</t>
  </si>
  <si>
    <t>Počet bytov a nebytov</t>
  </si>
  <si>
    <t>SZ (EUR/m3)</t>
  </si>
  <si>
    <t>TV</t>
  </si>
  <si>
    <t>Príloha č.2</t>
  </si>
  <si>
    <t>Isz</t>
  </si>
  <si>
    <t>It</t>
  </si>
  <si>
    <t>It-n</t>
  </si>
  <si>
    <t>n</t>
  </si>
  <si>
    <t>počet rokov, za ktoré je vykonaný odpočet určeného meradla.</t>
  </si>
  <si>
    <t>od 1.1.24 do 31.12.24</t>
  </si>
  <si>
    <t xml:space="preserve">Posledný odpočet za predchádzajúce obdobie </t>
  </si>
  <si>
    <t>Aktuálny odpočet za rozúčtovacie obdobie</t>
  </si>
  <si>
    <t>Aktuálny dátum: 3.3.2025, rozpočítavanie za rok 2024</t>
  </si>
  <si>
    <t xml:space="preserve"> k 31.12.2022</t>
  </si>
  <si>
    <t>k 31.12.2024</t>
  </si>
  <si>
    <t>Ak Zz &gt; 20%</t>
  </si>
  <si>
    <t>Zz =</t>
  </si>
  <si>
    <t>ÁNO</t>
  </si>
  <si>
    <t>výsledné %</t>
  </si>
  <si>
    <t>NIE</t>
  </si>
  <si>
    <t xml:space="preserve">Následne 31.12.2024 vlastník pán František sprístupní určené meradlo k odpočtu. </t>
  </si>
  <si>
    <t>Adam</t>
  </si>
  <si>
    <t>Dátum odpočtu</t>
  </si>
  <si>
    <t>?</t>
  </si>
  <si>
    <t>František nesprístupnil určené meradlo k odpočtu</t>
  </si>
  <si>
    <t>vykonaný odpočet</t>
  </si>
  <si>
    <t>František</t>
  </si>
  <si>
    <t>Eugen</t>
  </si>
  <si>
    <t>Izidor</t>
  </si>
  <si>
    <t>ZZ na byt a nebytový priestor (EUR)</t>
  </si>
  <si>
    <t>(8) nový vlastník, (7) v poruche, nemáme spotrebu</t>
  </si>
  <si>
    <t>(8) zmena vlastníka (6) neumožnil montáž, nemáme spotrebu</t>
  </si>
  <si>
    <t>(8) nový vlastník, máme spotrebu</t>
  </si>
  <si>
    <t>(8) zmena vlastníka, máme spotrebu</t>
  </si>
  <si>
    <t>Poznámka:</t>
  </si>
  <si>
    <t>TV %/deň</t>
  </si>
  <si>
    <t>(5) neumožnil odpočet - nemáme spotrebu, priemer x 1,5</t>
  </si>
  <si>
    <t>(6) ovplyvnil - nemáme spotrebu, priemer x 3</t>
  </si>
  <si>
    <t>(2) odpojený bez rozhodnutia vlastníkov</t>
  </si>
  <si>
    <t>Príklad č.</t>
  </si>
  <si>
    <t>2b</t>
  </si>
  <si>
    <t>(8) nový vlastník (5) neumožnil odpočet, nemáme spotrebu</t>
  </si>
  <si>
    <t>§ 9 ods. 6 - Výpočet cirkulačných strát</t>
  </si>
  <si>
    <t xml:space="preserve">Sz = </t>
  </si>
  <si>
    <t>Výpočet Zz a Sz (EUR)</t>
  </si>
  <si>
    <t xml:space="preserve"> suma ZZ pre objekt rozpočítavania  (EUR)</t>
  </si>
  <si>
    <t>suma SZ pre objekt rozpočítavania (EUR)</t>
  </si>
  <si>
    <t>bytov a nebytov</t>
  </si>
  <si>
    <t xml:space="preserve">Výpočet percentuálneho podielu časti mesiaca </t>
  </si>
  <si>
    <t>stĺpec č. 3</t>
  </si>
  <si>
    <t>0502</t>
  </si>
  <si>
    <t>0603</t>
  </si>
  <si>
    <t>0901</t>
  </si>
  <si>
    <t>1102</t>
  </si>
  <si>
    <t>1501</t>
  </si>
  <si>
    <t>1701</t>
  </si>
  <si>
    <t>1801</t>
  </si>
  <si>
    <t>2301</t>
  </si>
  <si>
    <t>3201</t>
  </si>
  <si>
    <t>3301</t>
  </si>
  <si>
    <t>4501</t>
  </si>
  <si>
    <t>4901</t>
  </si>
  <si>
    <t>Mária</t>
  </si>
  <si>
    <t>vodomerov</t>
  </si>
  <si>
    <t xml:space="preserve">Priemerná spotreba za zúčtovacie obdobie ods. 5 a 6 </t>
  </si>
  <si>
    <t xml:space="preserve">Priemerná spotreba za zúčtovacie obdobie ods. 7 </t>
  </si>
  <si>
    <t>počet všetkých bytov a nebytov</t>
  </si>
  <si>
    <t>neumožnil odpočet, ...</t>
  </si>
  <si>
    <t>poškodil, ...</t>
  </si>
  <si>
    <t>porucha, ...</t>
  </si>
  <si>
    <t>Vodomer č.2</t>
  </si>
  <si>
    <t>Vodomer č.3</t>
  </si>
  <si>
    <t>Vodomer č.1 - meraná spotreba</t>
  </si>
  <si>
    <t xml:space="preserve">Vodomer č.2 </t>
  </si>
  <si>
    <t>BytZZ</t>
  </si>
  <si>
    <t>Počet bytov a NP pre výpočet priemernej spotreby pre ods. 5 a 6</t>
  </si>
  <si>
    <t>Počet určených meradiel pre výpočet priemernej spotreby ods. 7</t>
  </si>
  <si>
    <t>Hodnota spotreby TV  vrátane náhradných spotrieb</t>
  </si>
  <si>
    <t>Hodnota spotreby pre výpočet priemernej spotreby ods. 5 a 6</t>
  </si>
  <si>
    <t>Hodnota spotreby pre výpočet priemernej spotreby ods. 7</t>
  </si>
  <si>
    <t>(7) porucha - uplatnený 1 x priemer</t>
  </si>
  <si>
    <t>0803</t>
  </si>
  <si>
    <t>1002</t>
  </si>
  <si>
    <t>1202</t>
  </si>
  <si>
    <t xml:space="preserve">Pre prerozdelenie ZZ a SZ  boli použité percentá zohľadnujúce obdobie užívania priestoru v zmysle Prílohy č.2, stĺpec č.3. </t>
  </si>
  <si>
    <t xml:space="preserve">V tomto prípade § 10 ods. 6, t.j. 3 x priemerná spotreba bytov a NP za celé zúčtovacie obdobie. </t>
  </si>
  <si>
    <t>0102</t>
  </si>
  <si>
    <t>ZZ
OHREV</t>
  </si>
  <si>
    <t>EUR/BYTaNP</t>
  </si>
  <si>
    <t>Byt č.1</t>
  </si>
  <si>
    <t>Byt č.2</t>
  </si>
  <si>
    <t>Byt č.3</t>
  </si>
  <si>
    <t>Byt č.4</t>
  </si>
  <si>
    <t>Suma</t>
  </si>
  <si>
    <t xml:space="preserve">Priemerná spotreba na byt a nebytový priestor je </t>
  </si>
  <si>
    <t>počet rokov, za ktoré je vykonaný odpočet určeného meradla. N je vždy väčšie ako 1 rok.</t>
  </si>
  <si>
    <t>Spoločný priestor</t>
  </si>
  <si>
    <t>Počet bytov a NP pre prerozdelenie spoločných nákladov</t>
  </si>
  <si>
    <t xml:space="preserve">Hodnota nákladov spoločných priestorov pre prerozdelenie </t>
  </si>
  <si>
    <t>Využiv. spol priestor</t>
  </si>
  <si>
    <t>Karol</t>
  </si>
  <si>
    <t>Vodomer č.1 - (6) neumožnil montáž, uplatnený priemer z bytov/NB x 3 na spotrebu celého bytu/NP</t>
  </si>
  <si>
    <t>Základné údaje</t>
  </si>
  <si>
    <t>Od 16.3.2023 do 31.12.2023 nový vlastník pán František, odpočet k 15.3.2023 máme, odpočet k 31.12.2023 nemáme, vlastník nesprístupnil určené meradlo k odpočtu</t>
  </si>
  <si>
    <t>Výpočet priemernej spotreby:</t>
  </si>
  <si>
    <t>Celkové množstvo tepla spotrebovaného na ohrev teplej vody merané v mieste prípravy teplej vody centrálneho zdroja tepla, vyjadrené v kWh.</t>
  </si>
  <si>
    <r>
      <t>Objem spotrebovanej teplej vody v rámci okruhu centrálneho zdroja tepla  vyjadrený v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.</t>
    </r>
  </si>
  <si>
    <t>Množstvo spotrebovaného tepla v sústave cirkulačných rozvodoch teplej vody vyjadrené v kWh.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</si>
  <si>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</si>
  <si>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 V</t>
    </r>
    <r>
      <rPr>
        <vertAlign val="subscript"/>
        <sz val="12"/>
        <color rgb="FF494949"/>
        <rFont val="Calibri"/>
        <family val="2"/>
        <charset val="238"/>
      </rPr>
      <t>si</t>
    </r>
    <r>
      <rPr>
        <sz val="12"/>
        <color rgb="FF494949"/>
        <rFont val="Calibri"/>
        <family val="2"/>
        <charset val="238"/>
      </rPr>
      <t xml:space="preserve"> =</t>
    </r>
  </si>
  <si>
    <r>
      <t>Q</t>
    </r>
    <r>
      <rPr>
        <vertAlign val="subscript"/>
        <sz val="11"/>
        <color theme="1"/>
        <rFont val="Calibri"/>
        <family val="2"/>
        <charset val="238"/>
        <scheme val="minor"/>
      </rPr>
      <t>cv</t>
    </r>
    <r>
      <rPr>
        <sz val="11"/>
        <color theme="1"/>
        <rFont val="Calibri"/>
        <family val="2"/>
        <scheme val="minor"/>
      </rPr>
      <t xml:space="preserve"> =</t>
    </r>
  </si>
  <si>
    <r>
      <t>§ 9 ods. 5 - Výpočet ZZ</t>
    </r>
    <r>
      <rPr>
        <b/>
        <vertAlign val="subscript"/>
        <sz val="12"/>
        <color theme="1"/>
        <rFont val="Calibri"/>
        <family val="2"/>
        <charset val="238"/>
        <scheme val="minor"/>
      </rPr>
      <t>%</t>
    </r>
  </si>
  <si>
    <r>
      <t>§ 9 ods. 7 - Výpočet SZ</t>
    </r>
    <r>
      <rPr>
        <b/>
        <vertAlign val="subscript"/>
        <sz val="12"/>
        <color theme="1"/>
        <rFont val="Calibri"/>
        <family val="2"/>
        <charset val="238"/>
        <scheme val="minor"/>
      </rPr>
      <t>%</t>
    </r>
  </si>
  <si>
    <r>
      <t>Q</t>
    </r>
    <r>
      <rPr>
        <vertAlign val="subscript"/>
        <sz val="12"/>
        <color rgb="FF494949"/>
        <rFont val="Calibri"/>
        <family val="2"/>
        <charset val="238"/>
      </rPr>
      <t>c</t>
    </r>
    <r>
      <rPr>
        <sz val="12"/>
        <color rgb="FF494949"/>
        <rFont val="Calibri"/>
        <family val="2"/>
        <charset val="238"/>
      </rPr>
      <t xml:space="preserve"> alebo  Q</t>
    </r>
    <r>
      <rPr>
        <vertAlign val="subscript"/>
        <sz val="12"/>
        <color rgb="FF494949"/>
        <rFont val="Calibri"/>
        <family val="2"/>
        <charset val="238"/>
      </rPr>
      <t>cv</t>
    </r>
    <r>
      <rPr>
        <sz val="12"/>
        <color rgb="FF494949"/>
        <rFont val="Calibri"/>
        <family val="2"/>
        <charset val="238"/>
      </rPr>
      <t xml:space="preserve"> = </t>
    </r>
  </si>
  <si>
    <r>
      <t>ZZ</t>
    </r>
    <r>
      <rPr>
        <vertAlign val="subscript"/>
        <sz val="11"/>
        <color theme="1"/>
        <rFont val="Calibri"/>
        <family val="2"/>
        <charset val="238"/>
        <scheme val="minor"/>
      </rPr>
      <t>%</t>
    </r>
    <r>
      <rPr>
        <sz val="11"/>
        <color theme="1"/>
        <rFont val="Calibri"/>
        <family val="2"/>
        <scheme val="minor"/>
      </rPr>
      <t xml:space="preserve"> = </t>
    </r>
  </si>
  <si>
    <r>
      <t>Ak ZZ</t>
    </r>
    <r>
      <rPr>
        <vertAlign val="subscript"/>
        <sz val="11"/>
        <color theme="1"/>
        <rFont val="Calibri"/>
        <family val="2"/>
        <charset val="238"/>
        <scheme val="minor"/>
      </rPr>
      <t>%</t>
    </r>
    <r>
      <rPr>
        <sz val="11"/>
        <color theme="1"/>
        <rFont val="Calibri"/>
        <family val="2"/>
        <scheme val="minor"/>
      </rPr>
      <t xml:space="preserve"> &gt; 20%</t>
    </r>
  </si>
  <si>
    <r>
      <t>ZZ</t>
    </r>
    <r>
      <rPr>
        <vertAlign val="subscript"/>
        <sz val="11"/>
        <color theme="1"/>
        <rFont val="Calibri"/>
        <family val="2"/>
        <charset val="238"/>
        <scheme val="minor"/>
      </rPr>
      <t>%</t>
    </r>
    <r>
      <rPr>
        <sz val="11"/>
        <color theme="1"/>
        <rFont val="Calibri"/>
        <family val="2"/>
        <scheme val="minor"/>
      </rPr>
      <t xml:space="preserve"> =</t>
    </r>
  </si>
  <si>
    <t>Vypočítaná základná zložka vyjadrená v percentách.</t>
  </si>
  <si>
    <t>Uplatnená základná zložka vyjadrená v percentách.</t>
  </si>
  <si>
    <r>
      <t>Zaokrúhlenie na celé percento. Vypočítaná a uplatnená ZZ</t>
    </r>
    <r>
      <rPr>
        <vertAlign val="subscript"/>
        <sz val="11"/>
        <color theme="1"/>
        <rFont val="Calibri"/>
        <family val="2"/>
        <charset val="238"/>
        <scheme val="minor"/>
      </rPr>
      <t>%</t>
    </r>
    <r>
      <rPr>
        <sz val="11"/>
        <color theme="1"/>
        <rFont val="Calibri"/>
        <family val="2"/>
        <scheme val="minor"/>
      </rPr>
      <t xml:space="preserve"> vyjadrená v percentách.</t>
    </r>
  </si>
  <si>
    <r>
      <t>spotreba [m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scheme val="minor"/>
      </rPr>
      <t>]</t>
    </r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</si>
  <si>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</si>
  <si>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t>OD</t>
  </si>
  <si>
    <t>DO</t>
  </si>
  <si>
    <r>
      <t>ZZ</t>
    </r>
    <r>
      <rPr>
        <b/>
        <vertAlign val="subscript"/>
        <sz val="11"/>
        <color theme="1"/>
        <rFont val="Calibri"/>
        <family val="2"/>
        <charset val="238"/>
      </rPr>
      <t>%</t>
    </r>
    <r>
      <rPr>
        <b/>
        <sz val="11"/>
        <color theme="1"/>
        <rFont val="Calibri"/>
        <family val="2"/>
        <charset val="238"/>
      </rPr>
      <t xml:space="preserve"> ; SZ</t>
    </r>
    <r>
      <rPr>
        <b/>
        <vertAlign val="subscript"/>
        <sz val="11"/>
        <color theme="1"/>
        <rFont val="Calibri"/>
        <family val="2"/>
        <charset val="238"/>
      </rPr>
      <t>%</t>
    </r>
  </si>
  <si>
    <r>
      <t>PRIEMER
VOD [m</t>
    </r>
    <r>
      <rPr>
        <b/>
        <vertAlign val="superscript"/>
        <sz val="11"/>
        <color theme="1"/>
        <rFont val="Calibri"/>
        <family val="2"/>
        <charset val="238"/>
      </rPr>
      <t>3</t>
    </r>
    <r>
      <rPr>
        <b/>
        <sz val="11"/>
        <color theme="1"/>
        <rFont val="Calibri"/>
        <family val="2"/>
        <charset val="238"/>
      </rPr>
      <t>]</t>
    </r>
  </si>
  <si>
    <t>(2) odpojený na základe rozhodnutia vlastníkov</t>
  </si>
  <si>
    <t>Vodomer č.2 - (6) neumožnil montáž, uplatnený priemer z bytov/NB x 3 na spotrebu celého bytu/NP</t>
  </si>
  <si>
    <t>Vodomer č. 1 - (7) porucha - uplatnený 1 x priemer z určených meradiel</t>
  </si>
  <si>
    <t>Vodomer č. 2</t>
  </si>
  <si>
    <t>Vodomer č. 3</t>
  </si>
  <si>
    <t>Vodomer č. 1 - (6) neumožnil montáž, uplatnený priemer z bytov/NB x 3 na spotrebu celého bytu/NP</t>
  </si>
  <si>
    <t>Vodomer č. 2 - (7) porucha</t>
  </si>
  <si>
    <t>Vodomer č. 1</t>
  </si>
  <si>
    <r>
      <t>Počet bytov, NP pre výpočet  ZZ</t>
    </r>
    <r>
      <rPr>
        <vertAlign val="subscript"/>
        <sz val="11"/>
        <color theme="1"/>
        <rFont val="Calibri"/>
        <family val="2"/>
        <charset val="238"/>
        <scheme val="minor"/>
      </rPr>
      <t>EUR</t>
    </r>
    <r>
      <rPr>
        <sz val="11"/>
        <color theme="1"/>
        <rFont val="Calibri"/>
        <family val="2"/>
        <scheme val="minor"/>
      </rPr>
      <t xml:space="preserve"> na byt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</si>
  <si>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>/byt a nebyt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</si>
  <si>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>/vodomer</t>
    </r>
  </si>
  <si>
    <r>
      <t>ZZ</t>
    </r>
    <r>
      <rPr>
        <vertAlign val="subscript"/>
        <sz val="11"/>
        <color theme="1"/>
        <rFont val="Calibri"/>
        <family val="2"/>
        <charset val="238"/>
        <scheme val="minor"/>
      </rPr>
      <t>%</t>
    </r>
  </si>
  <si>
    <r>
      <t>SZ</t>
    </r>
    <r>
      <rPr>
        <vertAlign val="subscript"/>
        <sz val="11"/>
        <color theme="1"/>
        <rFont val="Calibri"/>
        <family val="2"/>
        <charset val="238"/>
        <scheme val="minor"/>
      </rPr>
      <t>%</t>
    </r>
  </si>
  <si>
    <r>
      <t>EUR/m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</si>
  <si>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stav určeného meradla odčítaný v príslušnom roku, vyjadrený v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>,</t>
    </r>
  </si>
  <si>
    <r>
      <t>spotreba konečného spotrebiteľa určená náhradným spôsobom, vyjadrená v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>,</t>
    </r>
  </si>
  <si>
    <r>
      <t>stav určeného meradla odčítaný v roku, v ktorom sa odčítanie určeného meradla vykonalo posledný raz, vyjadrený v m</t>
    </r>
    <r>
      <rPr>
        <vertAlign val="superscript"/>
        <sz val="12"/>
        <color rgb="FF494949"/>
        <rFont val="Segoe UI"/>
        <family val="2"/>
        <charset val="238"/>
      </rPr>
      <t>3</t>
    </r>
    <r>
      <rPr>
        <sz val="8"/>
        <color rgb="FF494949"/>
        <rFont val="Segoe UI"/>
        <family val="2"/>
        <charset val="238"/>
      </rPr>
      <t>,</t>
    </r>
  </si>
  <si>
    <r>
      <t>Od 1.1.2023 do 15.3.2023 vlastník pán Adam, mám odpočty k dispozícii a mám hodnotu spotreby, ktorá je 10,65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</si>
  <si>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bytov</t>
  </si>
  <si>
    <t>EUR/byt</t>
  </si>
  <si>
    <t>koeficient par. 10 ods. 7</t>
  </si>
  <si>
    <t>(8) zmena vlastníka (máme odpočty a teda spotrebu, ale len za celé obdobie)</t>
  </si>
  <si>
    <t>(8) nový vlastník (máme odpočty a teda spotrebu, ale len za celé obdobie)</t>
  </si>
  <si>
    <t>Priemerná spotreba v zmysle § 10 ods. 5 a 6:</t>
  </si>
  <si>
    <t>Priemerná spotreba v zmysle § 10 ods. 7:</t>
  </si>
  <si>
    <t xml:space="preserve"> § 10
 ods. 7</t>
  </si>
  <si>
    <r>
      <t>m</t>
    </r>
    <r>
      <rPr>
        <b/>
        <vertAlign val="superscript"/>
        <sz val="11"/>
        <color rgb="FF000000"/>
        <rFont val="Times New Roman"/>
        <family val="1"/>
        <charset val="238"/>
      </rPr>
      <t>3</t>
    </r>
  </si>
  <si>
    <t>priemer za byt</t>
  </si>
  <si>
    <t>priemer za vodomer</t>
  </si>
  <si>
    <r>
      <t> </t>
    </r>
    <r>
      <rPr>
        <b/>
        <sz val="11"/>
        <color rgb="FF000000"/>
        <rFont val="Times New Roman"/>
        <family val="1"/>
        <charset val="238"/>
      </rPr>
      <t>A</t>
    </r>
  </si>
  <si>
    <t>Byt č.</t>
  </si>
  <si>
    <t>Vodomer</t>
  </si>
  <si>
    <t>Uplatnený ods.</t>
  </si>
  <si>
    <t>Výpočet</t>
  </si>
  <si>
    <t>Náhradný výpočet spotreby vodomera alebo reálna spotreba</t>
  </si>
  <si>
    <r>
      <t>[m</t>
    </r>
    <r>
      <rPr>
        <b/>
        <vertAlign val="superscript"/>
        <sz val="11"/>
        <color rgb="FF000000"/>
        <rFont val="Times New Roman"/>
        <family val="1"/>
        <charset val="238"/>
      </rPr>
      <t>3</t>
    </r>
    <r>
      <rPr>
        <b/>
        <sz val="11"/>
        <color rgb="FF000000"/>
        <rFont val="Times New Roman"/>
        <family val="1"/>
        <charset val="238"/>
      </rPr>
      <t>]</t>
    </r>
  </si>
  <si>
    <t>V1</t>
  </si>
  <si>
    <t>ods. 5</t>
  </si>
  <si>
    <t>x priemer bytov a NP</t>
  </si>
  <si>
    <t>V2</t>
  </si>
  <si>
    <t>ods. 6</t>
  </si>
  <si>
    <t>V3</t>
  </si>
  <si>
    <t>ods. 7</t>
  </si>
  <si>
    <t>x priemer z vodomerov</t>
  </si>
  <si>
    <t>V4</t>
  </si>
  <si>
    <t>merané</t>
  </si>
  <si>
    <t>B</t>
  </si>
  <si>
    <r>
      <t>[m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]</t>
    </r>
  </si>
  <si>
    <t>Vodomer č.1 - (7) porucha - uplatnený 1 x priemer z určených meračov na vodomer</t>
  </si>
  <si>
    <t>Štefan</t>
  </si>
  <si>
    <r>
      <t>Ak je ZZ</t>
    </r>
    <r>
      <rPr>
        <vertAlign val="subscript"/>
        <sz val="11"/>
        <color theme="1"/>
        <rFont val="Calibri"/>
        <family val="2"/>
        <charset val="238"/>
        <scheme val="minor"/>
      </rPr>
      <t>%</t>
    </r>
    <r>
      <rPr>
        <sz val="11"/>
        <color theme="1"/>
        <rFont val="Calibri"/>
        <family val="2"/>
        <scheme val="minor"/>
      </rPr>
      <t xml:space="preserve"> menšia ako 20 %</t>
    </r>
  </si>
  <si>
    <t xml:space="preserve">Cirkulačné straty boli vypočítané v zmysle § 9 ods. 6 a tvoria 29 %  z celkových nákladov. </t>
  </si>
  <si>
    <t>V zmysle § 9 ods. 5 maximálna hodnota základnej zložky pre rozpočítavanie tepla TV je 20 %, preto pre rozpočítavanie nákladov bola použitá hodnota základnej zložky 20 %.</t>
  </si>
  <si>
    <t>Množstvo spotrebovaného tepla v sústave cirkulačných rozvodov teplej vody vyjadrené v kWh.</t>
  </si>
  <si>
    <r>
      <t>SPOTREBA TV
VODOMER [m</t>
    </r>
    <r>
      <rPr>
        <b/>
        <vertAlign val="superscript"/>
        <sz val="11"/>
        <color theme="1"/>
        <rFont val="Calibri"/>
        <family val="2"/>
        <charset val="238"/>
      </rPr>
      <t>3</t>
    </r>
    <r>
      <rPr>
        <b/>
        <sz val="11"/>
        <color theme="1"/>
        <rFont val="Calibri"/>
        <family val="2"/>
        <charset val="238"/>
      </rPr>
      <t>]</t>
    </r>
  </si>
  <si>
    <r>
      <t>PRIEMER
BYT [m</t>
    </r>
    <r>
      <rPr>
        <b/>
        <vertAlign val="superscript"/>
        <sz val="11"/>
        <color theme="1"/>
        <rFont val="Calibri"/>
        <family val="2"/>
        <charset val="238"/>
      </rPr>
      <t>3</t>
    </r>
    <r>
      <rPr>
        <b/>
        <sz val="11"/>
        <color theme="1"/>
        <rFont val="Calibri"/>
        <family val="2"/>
        <charset val="238"/>
      </rPr>
      <t>]</t>
    </r>
  </si>
  <si>
    <t>NÁKLAD Spol. priestor</t>
  </si>
  <si>
    <t>NÁKLAD
OHREV</t>
  </si>
  <si>
    <t>SZ 
OHREV</t>
  </si>
  <si>
    <t>(8) zmena vlastníka, (5) nemáme spotrebu k zmene vlastníka</t>
  </si>
  <si>
    <t>(8) nový vlastník (6) poškodil merač</t>
  </si>
  <si>
    <t>Zdeněk</t>
  </si>
  <si>
    <t>Vladimír</t>
  </si>
  <si>
    <t>Radomír</t>
  </si>
  <si>
    <t>Marián</t>
  </si>
  <si>
    <t>Magdaléna</t>
  </si>
  <si>
    <t>Viktória</t>
  </si>
  <si>
    <t xml:space="preserve">Pre výpočet náhradnej spotreby bola použitá priemerná spotreba z bytov a NB x 3 a táto hodnota bola upravená percentom zohľadnujúcim obdobie užívania priestoru v zmysle Prílohy č.2, stĺpec č.3. ZZ bytu alebo NP bola prerozdelená percentom zohľadňujúcim obdobie užívania priestoru v zmysle Prílohy č.2 stĺpec č.3. </t>
  </si>
  <si>
    <t>Bola použitá reálna spotreba získaná z meradla. ZZ  bytu alebo NP  bola prerozdelená percentom zohľadňujúcim obdobie užívania priestoru v zmysle Prílohy č.2, stĺpec č.3.  Priemerná spotreba bola vypočítaná len zo spotrieb bytov a NP, kde sa počas zúčtovacieho obdobia hoc len za časť zúčtovacieho obdobia neuplatnil ods. 5, 6 alebo 7.</t>
  </si>
  <si>
    <t xml:space="preserve">Pre výpočet SZ bola použitá reálna spotreba získaná z meradla. ZZ bytu alebo NP bola prerozdelená percentom zohľadňujúcim obdobie užívania priestoru v zmysle Prílohy č.2, stĺpec č.3. </t>
  </si>
  <si>
    <t>Pre výpočet náhradnej spotreby bola použitá priemerná spotreba z určených meradiel x 1 a táto hodnota bola upravená percentom zohľadňujúcim obdobie užívania priestoru v zmysle Prílohy č.2, stĺpec č.3. ZZ bytu alebo NP bola prerozdelená percentom zohľadňujúcim obdobie užívania priestoru v zmysle Prílohy č.2 stĺpec č.3. Priemerná spotreba bola vypočítaná len zo spotrieb určených meradiel, kde sa počas zúčtovacieho obdobia hoc len za časť zúčtovacieho obdobia neuplatnil ods. 5, 6 alebo 7.</t>
  </si>
  <si>
    <t>Pre výpočet náhradnej spotreby bola použitá priemerná spotreba z bytov a NP x 1,5 a táto hodnota bola upravená percentom zohľadňujúcim obdobie užívania priestoru v zmysle Prílohy č.2, stĺpec č.3. ZZ bytu alebo NP bola prerozdelená percentom zohľadňujúcim obdobie užívania priestoru v zmysle Prílohy č.2, stĺpec č.3. Priemerná spotreba bola vypočítaná len zo spotrieb bytov a NP, kde sa počas zúčtovacieho obdobia hoc len za časť zúčtovacieho obdobia neuplatnil ods. 5, 6 alebo 7.</t>
  </si>
  <si>
    <t>Priemerná spotreba bola vypočítaná len zo spotrieb určených meradiel, kde sa počas zúčtovacieho obdobia hoc len za časť zúčtovacieho obdobia neuplatnil ods. 5, 6 alebo 7.</t>
  </si>
  <si>
    <t>Priemerná spotreba bola vypočítaná len zo spotrieb bytov a NP, kde sa počas zúčtovacieho obdobia hoc len za časť zúčtovacieho obdobia neuplatnil ods. 5, 6 alebo 7.</t>
  </si>
  <si>
    <t xml:space="preserve">Pre výpočet náhradnej spotreby bola použitá priemerná spotreba z určených meradiel x 1 a táto hodnota bola upravená percentom zohľadňujúcim obdobie užívania priestoru v zmysle Prílohy č.2, stĺpec č.3. ZZ bola prerozdelená percentom zohľadňujúcim obdobie užívania priestoru v zmysle Prílohy č.2, stĺpec č.3. </t>
  </si>
  <si>
    <t xml:space="preserve">Pre spotrebu celého bytu a NP sa uplatní ods. s vyšším koeficientom násobku priemernej spotreby.  </t>
  </si>
  <si>
    <t>Spotreba bytu a NP sa následne určí ako vyššia hodnota z hodnôt: 3,0 x priemer za byt/NP a hodnota známej spotreby na treťom merači.</t>
  </si>
  <si>
    <t xml:space="preserve">Vlastník nezabezpečil odpočet k zmene vlastníka bytu. Uplatní sa ods. 5, vypočíta sa spotreba za zúčtovacie obdobie a následne sa pre výpočet spotreby za časť zúčtovacieho obdobia použije Príloha č.2, stĺpec č.3. </t>
  </si>
  <si>
    <t xml:space="preserve">Vlastník poškodil meradlo. Uplatní sa ods. 6, vypočíta sa spotreba za zúčtovacie obdobie a následne sa pre výpočet spotreby za časť zúčtovacieho obdobia použije Príloha č.2, stĺpec č.3. </t>
  </si>
  <si>
    <t>Ak máme spotrebu TV napríklad spoločných priestorov, jej náklady sa vypočítajú ako pre byt a NP a následne sa prerozdelia rovnakým dielom medzi tých vlastníkov bytov a NP, ktorí túto spotrebu TV úžívajú. Pri zmene vlastníka sa postupuje tak, že náklady bytu a nebytového priestoru sa prerozdelia na vlastníkov bytu alebo NP podľa prílohy č. 2, stĺpca č. 3 k dátumu zmeny konečného spotrebiteľa.</t>
  </si>
  <si>
    <t>Náklady na ohrev za zúčtovacie obdobie</t>
  </si>
  <si>
    <t>Pre celý byt alebo nebyt sa uplatní náhradný výpočet v zmysle ods. 6. T.j. suma spotreby bytu bude 3x priemerná spotreba z bytov a NP.</t>
  </si>
  <si>
    <t>jeden byt odpojený na základe rozhodnutia vlastníkov § 10 ods. 2. ZZ = 0%</t>
  </si>
  <si>
    <t>len byty a nebyty,  kde sa počas zúčtovacieho obdobia hoc len za časť zúčtovacieho obdobia neuplatnil ods. 5, 6 alebo 7</t>
  </si>
  <si>
    <t>len určené meradlá (vodomery), kde sa počas zúčtovacieho obdobia hoc len za časť zúčtovacieho obdobia neuplatnil ods. 5, 6 alebo 7</t>
  </si>
  <si>
    <t>vypočítané len zo spotrieb bytov a nebytových priestorov, kde sa počas zúčtovacieho obdobia hoc len za časť zúčtovacieho obdobia neuplatnil ods. 5, 6 alebo 7</t>
  </si>
  <si>
    <t>vypočítané len zo spotrieb určených meradiel, vodomerov, kde sa počas zúčtovacieho obdobia hoc len za časť zúčtovacieho obdobia neuplatnil ods. 5, 6 alebo 7</t>
  </si>
  <si>
    <t>zahrnuté len byty a NP a ich spotreby, kde sa počas zúčtovacieho obdobia hoc len za časť zúčtovacieho obdobia neuplatnil ods. 5, 6 alebo 7</t>
  </si>
  <si>
    <t>zahrnuté len vodomery a ich spotreby vodomerov, kde sa počas zúčtovacieho obdobia hoc len za časť zúčtovacieho obdobia neuplatnil ods. 5, 6 alebo 7</t>
  </si>
  <si>
    <t>Výpočet spotreby v nasledujúcom zúčtovacom období, ak v predchádzajúcom zúčtovacom období bol uplatnený par. 10 ods. 5.</t>
  </si>
  <si>
    <t>Výpočet spotreby v nasledujúcom zúčtovacom období, ak v predchádzajúcom zúčtovacom období bol uplatnený par. 10 ods. 5, kde n predstavuje nie celú časť počtu rokov.</t>
  </si>
  <si>
    <t>Vlastník</t>
  </si>
  <si>
    <r>
      <t>Stav na meradle 
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</si>
  <si>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František (dátum zmeny vlastníka)</t>
  </si>
  <si>
    <t>k 15.3.2023</t>
  </si>
  <si>
    <t>Posledný odpočet za predchádzajúce obdobie</t>
  </si>
  <si>
    <t xml:space="preserve">Hodnota pre časť roka sa vypočíta použitím Prílohy č.2, stĺpec č.3 tak, že sa spočítajú percentá za potrebné obdobie. </t>
  </si>
  <si>
    <t>V tomto prípade "n" nie je celé číslo, keďže nie sú celé roky za obdobie, v ktorom je vykonaný odpočet.</t>
  </si>
  <si>
    <t>Percento časti mesiaca sa vypočíta tak, že sa vypočíta z percenta daného mesiaca hodnota prislúchajúca jednému dňu mesiaca a následne sa vynásobí počtom dní, pre ktoré je potrebné výsledné percento časti mesiaca určiť.</t>
  </si>
  <si>
    <t>počet dní</t>
  </si>
  <si>
    <t>§ 10
 ods. 5 a ods. 6</t>
  </si>
  <si>
    <t>Náhradný výpočet spotreby TV za byt, ktorý vstupuje do rozpočítavania tepla.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</si>
</sst>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0"/>
    <numFmt numFmtId="166" formatCode="0.000"/>
    <numFmt numFmtId="167" formatCode="0.00000000"/>
    <numFmt numFmtId="168" formatCode="0.00000000000000"/>
    <numFmt numFmtId="169" formatCode="0.00000000000000%"/>
    <numFmt numFmtId="170" formatCode="#,##0.0000"/>
    <numFmt numFmtId="171" formatCode="0.0000%"/>
    <numFmt numFmtId="172" formatCode="_-* #,##0.000000000000\ &quot;€&quot;_-;\-* #,##0.000000000000\ &quot;€&quot;_-;_-* &quot;-&quot;??\ &quot;€&quot;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494949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494949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bscript"/>
      <sz val="12"/>
      <color rgb="FF494949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b/>
      <vertAlign val="subscript"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b/>
      <vertAlign val="subscript"/>
      <sz val="11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</font>
    <font>
      <vertAlign val="superscript"/>
      <sz val="12"/>
      <color rgb="FF494949"/>
      <name val="Segoe UI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vertAlign val="superscript"/>
      <sz val="12"/>
      <color rgb="FF000000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/>
      <top/>
      <bottom style="thin">
        <color auto="1"/>
      </bottom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rgb="FF5B9BD5"/>
      </bottom>
      <diagonal/>
    </border>
    <border>
      <left/>
      <right style="medium">
        <color rgb="FF5B9BD5"/>
      </right>
      <top/>
      <bottom/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/>
      <right/>
      <top style="medium">
        <color rgb="FF5B9BD5"/>
      </top>
      <bottom/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 style="medium">
        <color rgb="FF5B9BD5"/>
      </left>
      <right/>
      <top/>
      <bottom style="medium">
        <color rgb="FF5B9BD5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78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10" fillId="0" borderId="0" xfId="2" applyFon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0" fillId="4" borderId="1" xfId="0" applyFill="1" applyBorder="1" applyAlignment="1">
      <alignment horizontal="right"/>
    </xf>
    <xf numFmtId="2" fontId="0" fillId="4" borderId="1" xfId="0" applyNumberFormat="1" applyFill="1" applyBorder="1"/>
    <xf numFmtId="1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8" fillId="0" borderId="1" xfId="0" applyFont="1" applyBorder="1" applyAlignment="1">
      <alignment horizontal="right" vertical="center"/>
    </xf>
    <xf numFmtId="3" fontId="0" fillId="0" borderId="1" xfId="0" applyNumberFormat="1" applyBorder="1"/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2" fontId="0" fillId="0" borderId="1" xfId="1" applyNumberFormat="1" applyFont="1" applyBorder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6" fontId="0" fillId="0" borderId="0" xfId="0" applyNumberFormat="1"/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2" fontId="0" fillId="0" borderId="0" xfId="0" applyNumberFormat="1"/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/>
    </xf>
    <xf numFmtId="164" fontId="10" fillId="0" borderId="0" xfId="0" applyNumberFormat="1" applyFont="1"/>
    <xf numFmtId="0" fontId="6" fillId="0" borderId="0" xfId="0" applyFont="1"/>
    <xf numFmtId="167" fontId="0" fillId="0" borderId="0" xfId="0" applyNumberFormat="1"/>
    <xf numFmtId="1" fontId="0" fillId="0" borderId="0" xfId="0" applyNumberFormat="1" applyAlignment="1">
      <alignment horizontal="center"/>
    </xf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169" fontId="0" fillId="0" borderId="0" xfId="0" applyNumberFormat="1"/>
    <xf numFmtId="1" fontId="0" fillId="0" borderId="0" xfId="0" applyNumberFormat="1" applyAlignment="1">
      <alignment horizontal="left" vertical="center"/>
    </xf>
    <xf numFmtId="0" fontId="12" fillId="0" borderId="0" xfId="0" applyFont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right" vertical="center" wrapText="1"/>
    </xf>
    <xf numFmtId="1" fontId="0" fillId="0" borderId="1" xfId="0" applyNumberFormat="1" applyBorder="1" applyAlignment="1">
      <alignment vertical="center"/>
    </xf>
    <xf numFmtId="4" fontId="0" fillId="0" borderId="1" xfId="1" applyNumberFormat="1" applyFont="1" applyBorder="1"/>
    <xf numFmtId="4" fontId="0" fillId="0" borderId="1" xfId="0" applyNumberFormat="1" applyBorder="1"/>
    <xf numFmtId="44" fontId="0" fillId="0" borderId="0" xfId="0" applyNumberFormat="1"/>
    <xf numFmtId="164" fontId="10" fillId="2" borderId="0" xfId="0" applyNumberFormat="1" applyFont="1" applyFill="1"/>
    <xf numFmtId="0" fontId="10" fillId="0" borderId="0" xfId="0" applyFont="1" applyAlignment="1">
      <alignment horizontal="right"/>
    </xf>
    <xf numFmtId="0" fontId="5" fillId="0" borderId="0" xfId="0" applyFont="1"/>
    <xf numFmtId="1" fontId="10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70" fontId="0" fillId="0" borderId="1" xfId="0" applyNumberFormat="1" applyBorder="1"/>
    <xf numFmtId="1" fontId="0" fillId="0" borderId="3" xfId="0" applyNumberFormat="1" applyBorder="1" applyAlignment="1">
      <alignment horizontal="center" vertical="center"/>
    </xf>
    <xf numFmtId="44" fontId="0" fillId="0" borderId="0" xfId="2" applyFont="1" applyBorder="1"/>
    <xf numFmtId="1" fontId="0" fillId="0" borderId="4" xfId="0" applyNumberFormat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1" fontId="0" fillId="6" borderId="2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5" borderId="3" xfId="0" applyNumberFormat="1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1" fontId="0" fillId="8" borderId="3" xfId="0" applyNumberFormat="1" applyFill="1" applyBorder="1" applyAlignment="1">
      <alignment horizontal="center" vertical="center"/>
    </xf>
    <xf numFmtId="1" fontId="0" fillId="8" borderId="4" xfId="0" applyNumberFormat="1" applyFill="1" applyBorder="1" applyAlignment="1">
      <alignment horizontal="center" vertical="center"/>
    </xf>
    <xf numFmtId="1" fontId="0" fillId="9" borderId="3" xfId="0" applyNumberFormat="1" applyFill="1" applyBorder="1" applyAlignment="1">
      <alignment horizontal="center" vertical="center"/>
    </xf>
    <xf numFmtId="1" fontId="0" fillId="9" borderId="4" xfId="0" applyNumberFormat="1" applyFill="1" applyBorder="1" applyAlignment="1">
      <alignment horizontal="center" vertical="center"/>
    </xf>
    <xf numFmtId="166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/>
    </xf>
    <xf numFmtId="44" fontId="10" fillId="0" borderId="0" xfId="2" applyFont="1" applyAlignment="1">
      <alignment horizontal="right"/>
    </xf>
    <xf numFmtId="44" fontId="0" fillId="0" borderId="0" xfId="2" applyFont="1" applyAlignment="1">
      <alignment horizontal="right"/>
    </xf>
    <xf numFmtId="165" fontId="0" fillId="3" borderId="1" xfId="1" applyNumberFormat="1" applyFont="1" applyFill="1" applyBorder="1" applyAlignment="1">
      <alignment horizontal="right" vertical="center"/>
    </xf>
    <xf numFmtId="0" fontId="0" fillId="10" borderId="1" xfId="0" applyFill="1" applyBorder="1" applyAlignment="1">
      <alignment horizontal="right" vertical="center" wrapText="1"/>
    </xf>
    <xf numFmtId="165" fontId="0" fillId="10" borderId="1" xfId="1" applyNumberFormat="1" applyFont="1" applyFill="1" applyBorder="1" applyAlignment="1">
      <alignment horizontal="right" vertical="center"/>
    </xf>
    <xf numFmtId="0" fontId="0" fillId="11" borderId="1" xfId="0" applyFill="1" applyBorder="1" applyAlignment="1">
      <alignment horizontal="right"/>
    </xf>
    <xf numFmtId="2" fontId="0" fillId="11" borderId="1" xfId="0" applyNumberFormat="1" applyFill="1" applyBorder="1"/>
    <xf numFmtId="0" fontId="0" fillId="12" borderId="1" xfId="0" applyFill="1" applyBorder="1" applyAlignment="1">
      <alignment horizontal="right"/>
    </xf>
    <xf numFmtId="2" fontId="0" fillId="12" borderId="1" xfId="0" applyNumberFormat="1" applyFill="1" applyBorder="1"/>
    <xf numFmtId="166" fontId="10" fillId="5" borderId="3" xfId="0" applyNumberFormat="1" applyFont="1" applyFill="1" applyBorder="1" applyAlignment="1">
      <alignment horizontal="right" vertical="center"/>
    </xf>
    <xf numFmtId="166" fontId="10" fillId="5" borderId="4" xfId="0" applyNumberFormat="1" applyFont="1" applyFill="1" applyBorder="1" applyAlignment="1">
      <alignment horizontal="right" vertical="center"/>
    </xf>
    <xf numFmtId="166" fontId="0" fillId="9" borderId="3" xfId="0" applyNumberFormat="1" applyFill="1" applyBorder="1" applyAlignment="1">
      <alignment horizontal="right" vertical="center"/>
    </xf>
    <xf numFmtId="166" fontId="0" fillId="9" borderId="4" xfId="0" applyNumberFormat="1" applyFill="1" applyBorder="1" applyAlignment="1">
      <alignment horizontal="right" vertic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64" fontId="13" fillId="13" borderId="5" xfId="0" applyNumberFormat="1" applyFont="1" applyFill="1" applyBorder="1" applyAlignment="1">
      <alignment horizontal="center" vertical="center"/>
    </xf>
    <xf numFmtId="164" fontId="13" fillId="13" borderId="5" xfId="0" applyNumberFormat="1" applyFont="1" applyFill="1" applyBorder="1" applyAlignment="1">
      <alignment horizontal="center" vertical="center" wrapText="1"/>
    </xf>
    <xf numFmtId="166" fontId="10" fillId="4" borderId="4" xfId="0" applyNumberFormat="1" applyFont="1" applyFill="1" applyBorder="1" applyAlignment="1">
      <alignment vertical="center"/>
    </xf>
    <xf numFmtId="166" fontId="10" fillId="5" borderId="2" xfId="0" applyNumberFormat="1" applyFont="1" applyFill="1" applyBorder="1" applyAlignment="1">
      <alignment vertical="center"/>
    </xf>
    <xf numFmtId="166" fontId="10" fillId="3" borderId="2" xfId="0" applyNumberFormat="1" applyFont="1" applyFill="1" applyBorder="1" applyAlignment="1">
      <alignment vertical="center"/>
    </xf>
    <xf numFmtId="166" fontId="0" fillId="6" borderId="2" xfId="0" applyNumberFormat="1" applyFill="1" applyBorder="1" applyAlignment="1">
      <alignment vertical="center"/>
    </xf>
    <xf numFmtId="166" fontId="0" fillId="7" borderId="2" xfId="0" applyNumberFormat="1" applyFill="1" applyBorder="1" applyAlignment="1">
      <alignment vertical="center"/>
    </xf>
    <xf numFmtId="166" fontId="0" fillId="0" borderId="3" xfId="0" applyNumberFormat="1" applyBorder="1" applyAlignment="1">
      <alignment vertical="center"/>
    </xf>
    <xf numFmtId="166" fontId="10" fillId="5" borderId="3" xfId="0" applyNumberFormat="1" applyFont="1" applyFill="1" applyBorder="1" applyAlignment="1">
      <alignment vertical="center"/>
    </xf>
    <xf numFmtId="166" fontId="0" fillId="0" borderId="0" xfId="0" applyNumberFormat="1" applyAlignment="1">
      <alignment vertical="center"/>
    </xf>
    <xf numFmtId="166" fontId="10" fillId="8" borderId="4" xfId="0" applyNumberFormat="1" applyFont="1" applyFill="1" applyBorder="1" applyAlignment="1">
      <alignment vertical="center"/>
    </xf>
    <xf numFmtId="166" fontId="0" fillId="9" borderId="3" xfId="0" applyNumberFormat="1" applyFill="1" applyBorder="1" applyAlignment="1">
      <alignment vertical="center"/>
    </xf>
    <xf numFmtId="166" fontId="10" fillId="9" borderId="4" xfId="0" applyNumberFormat="1" applyFont="1" applyFill="1" applyBorder="1" applyAlignment="1">
      <alignment vertical="center"/>
    </xf>
    <xf numFmtId="166" fontId="0" fillId="0" borderId="2" xfId="0" applyNumberFormat="1" applyBorder="1" applyAlignment="1">
      <alignment vertical="center"/>
    </xf>
    <xf numFmtId="166" fontId="0" fillId="0" borderId="4" xfId="0" applyNumberFormat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6" fontId="4" fillId="5" borderId="4" xfId="0" applyNumberFormat="1" applyFont="1" applyFill="1" applyBorder="1" applyAlignment="1">
      <alignment vertical="center"/>
    </xf>
    <xf numFmtId="166" fontId="4" fillId="8" borderId="3" xfId="0" applyNumberFormat="1" applyFont="1" applyFill="1" applyBorder="1" applyAlignment="1">
      <alignment vertical="center"/>
    </xf>
    <xf numFmtId="166" fontId="4" fillId="8" borderId="3" xfId="0" applyNumberFormat="1" applyFont="1" applyFill="1" applyBorder="1" applyAlignment="1">
      <alignment horizontal="right" vertical="center"/>
    </xf>
    <xf numFmtId="166" fontId="4" fillId="8" borderId="4" xfId="0" applyNumberFormat="1" applyFont="1" applyFill="1" applyBorder="1" applyAlignment="1">
      <alignment horizontal="right" vertical="center"/>
    </xf>
    <xf numFmtId="44" fontId="0" fillId="2" borderId="6" xfId="2" applyFont="1" applyFill="1" applyBorder="1" applyAlignment="1">
      <alignment vertical="center"/>
    </xf>
    <xf numFmtId="44" fontId="0" fillId="2" borderId="4" xfId="2" applyFont="1" applyFill="1" applyBorder="1" applyAlignment="1">
      <alignment vertical="center"/>
    </xf>
    <xf numFmtId="44" fontId="0" fillId="4" borderId="4" xfId="2" applyFont="1" applyFill="1" applyBorder="1" applyAlignment="1">
      <alignment vertical="center"/>
    </xf>
    <xf numFmtId="44" fontId="0" fillId="5" borderId="2" xfId="2" applyFont="1" applyFill="1" applyBorder="1" applyAlignment="1">
      <alignment vertical="center"/>
    </xf>
    <xf numFmtId="44" fontId="0" fillId="3" borderId="2" xfId="2" applyFont="1" applyFill="1" applyBorder="1" applyAlignment="1">
      <alignment vertical="center"/>
    </xf>
    <xf numFmtId="44" fontId="0" fillId="6" borderId="2" xfId="2" applyFont="1" applyFill="1" applyBorder="1" applyAlignment="1">
      <alignment vertical="center"/>
    </xf>
    <xf numFmtId="44" fontId="0" fillId="7" borderId="2" xfId="2" applyFont="1" applyFill="1" applyBorder="1" applyAlignment="1">
      <alignment vertical="center"/>
    </xf>
    <xf numFmtId="44" fontId="0" fillId="0" borderId="3" xfId="2" applyFont="1" applyBorder="1" applyAlignment="1">
      <alignment vertical="center"/>
    </xf>
    <xf numFmtId="44" fontId="0" fillId="5" borderId="3" xfId="2" applyFont="1" applyFill="1" applyBorder="1" applyAlignment="1">
      <alignment vertical="center"/>
    </xf>
    <xf numFmtId="44" fontId="0" fillId="5" borderId="4" xfId="2" applyFont="1" applyFill="1" applyBorder="1" applyAlignment="1">
      <alignment vertical="center"/>
    </xf>
    <xf numFmtId="44" fontId="0" fillId="8" borderId="3" xfId="2" applyFont="1" applyFill="1" applyBorder="1" applyAlignment="1">
      <alignment vertical="center"/>
    </xf>
    <xf numFmtId="44" fontId="0" fillId="8" borderId="4" xfId="2" applyFont="1" applyFill="1" applyBorder="1" applyAlignment="1">
      <alignment vertical="center"/>
    </xf>
    <xf numFmtId="44" fontId="0" fillId="9" borderId="3" xfId="2" applyFont="1" applyFill="1" applyBorder="1" applyAlignment="1">
      <alignment vertical="center"/>
    </xf>
    <xf numFmtId="44" fontId="0" fillId="9" borderId="4" xfId="2" applyFont="1" applyFill="1" applyBorder="1" applyAlignment="1">
      <alignment vertical="center"/>
    </xf>
    <xf numFmtId="44" fontId="0" fillId="0" borderId="0" xfId="2" applyFont="1" applyBorder="1" applyAlignment="1">
      <alignment vertical="center"/>
    </xf>
    <xf numFmtId="44" fontId="0" fillId="0" borderId="4" xfId="2" applyFont="1" applyBorder="1" applyAlignment="1">
      <alignment vertical="center"/>
    </xf>
    <xf numFmtId="44" fontId="10" fillId="0" borderId="0" xfId="2" applyFont="1" applyAlignment="1">
      <alignment vertical="center"/>
    </xf>
    <xf numFmtId="0" fontId="0" fillId="2" borderId="3" xfId="0" applyFill="1" applyBorder="1" applyAlignment="1">
      <alignment vertical="center"/>
    </xf>
    <xf numFmtId="1" fontId="0" fillId="2" borderId="3" xfId="0" applyNumberFormat="1" applyFill="1" applyBorder="1" applyAlignment="1">
      <alignment vertical="center"/>
    </xf>
    <xf numFmtId="14" fontId="0" fillId="2" borderId="3" xfId="0" applyNumberFormat="1" applyFill="1" applyBorder="1" applyAlignment="1">
      <alignment vertical="center"/>
    </xf>
    <xf numFmtId="44" fontId="0" fillId="2" borderId="3" xfId="2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" fontId="0" fillId="2" borderId="4" xfId="0" applyNumberFormat="1" applyFill="1" applyBorder="1" applyAlignment="1">
      <alignment vertical="center"/>
    </xf>
    <xf numFmtId="49" fontId="0" fillId="2" borderId="4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1" fontId="0" fillId="4" borderId="4" xfId="0" applyNumberFormat="1" applyFill="1" applyBorder="1" applyAlignment="1">
      <alignment vertical="center"/>
    </xf>
    <xf numFmtId="49" fontId="0" fillId="4" borderId="4" xfId="0" applyNumberFormat="1" applyFill="1" applyBorder="1" applyAlignment="1">
      <alignment horizontal="center" vertical="center"/>
    </xf>
    <xf numFmtId="14" fontId="0" fillId="4" borderId="4" xfId="0" applyNumberForma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1" fontId="0" fillId="5" borderId="2" xfId="0" applyNumberFormat="1" applyFill="1" applyBorder="1" applyAlignment="1">
      <alignment vertical="center"/>
    </xf>
    <xf numFmtId="49" fontId="0" fillId="5" borderId="2" xfId="0" applyNumberFormat="1" applyFill="1" applyBorder="1" applyAlignment="1">
      <alignment horizontal="center" vertical="center"/>
    </xf>
    <xf numFmtId="14" fontId="0" fillId="5" borderId="2" xfId="0" applyNumberForma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1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14" fontId="0" fillId="3" borderId="2" xfId="0" applyNumberFormat="1" applyFill="1" applyBorder="1" applyAlignment="1">
      <alignment vertical="center"/>
    </xf>
    <xf numFmtId="0" fontId="0" fillId="6" borderId="2" xfId="0" applyFill="1" applyBorder="1" applyAlignment="1">
      <alignment vertical="center"/>
    </xf>
    <xf numFmtId="1" fontId="0" fillId="6" borderId="2" xfId="0" applyNumberFormat="1" applyFill="1" applyBorder="1" applyAlignment="1">
      <alignment vertical="center"/>
    </xf>
    <xf numFmtId="49" fontId="0" fillId="6" borderId="2" xfId="0" applyNumberFormat="1" applyFill="1" applyBorder="1" applyAlignment="1">
      <alignment horizontal="center" vertical="center"/>
    </xf>
    <xf numFmtId="14" fontId="0" fillId="6" borderId="2" xfId="0" applyNumberFormat="1" applyFill="1" applyBorder="1" applyAlignment="1">
      <alignment vertical="center"/>
    </xf>
    <xf numFmtId="0" fontId="0" fillId="7" borderId="2" xfId="0" applyFill="1" applyBorder="1" applyAlignment="1">
      <alignment vertical="center"/>
    </xf>
    <xf numFmtId="1" fontId="0" fillId="7" borderId="2" xfId="0" applyNumberFormat="1" applyFill="1" applyBorder="1" applyAlignment="1">
      <alignment vertical="center"/>
    </xf>
    <xf numFmtId="49" fontId="0" fillId="7" borderId="2" xfId="0" applyNumberFormat="1" applyFill="1" applyBorder="1" applyAlignment="1">
      <alignment horizontal="center" vertical="center"/>
    </xf>
    <xf numFmtId="14" fontId="0" fillId="7" borderId="2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1" fontId="0" fillId="0" borderId="3" xfId="0" applyNumberFormat="1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vertical="center"/>
    </xf>
    <xf numFmtId="0" fontId="0" fillId="5" borderId="3" xfId="0" applyFill="1" applyBorder="1" applyAlignment="1">
      <alignment vertical="center"/>
    </xf>
    <xf numFmtId="1" fontId="0" fillId="5" borderId="3" xfId="0" applyNumberFormat="1" applyFill="1" applyBorder="1" applyAlignment="1">
      <alignment vertical="center"/>
    </xf>
    <xf numFmtId="49" fontId="0" fillId="5" borderId="3" xfId="0" applyNumberFormat="1" applyFill="1" applyBorder="1" applyAlignment="1">
      <alignment horizontal="center" vertical="center"/>
    </xf>
    <xf numFmtId="14" fontId="0" fillId="5" borderId="3" xfId="0" applyNumberForma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1" fontId="0" fillId="5" borderId="4" xfId="0" applyNumberFormat="1" applyFill="1" applyBorder="1" applyAlignment="1">
      <alignment vertical="center"/>
    </xf>
    <xf numFmtId="49" fontId="0" fillId="5" borderId="4" xfId="0" applyNumberFormat="1" applyFill="1" applyBorder="1" applyAlignment="1">
      <alignment horizontal="center" vertical="center"/>
    </xf>
    <xf numFmtId="14" fontId="0" fillId="5" borderId="4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8" borderId="3" xfId="0" applyFill="1" applyBorder="1" applyAlignment="1">
      <alignment vertical="center"/>
    </xf>
    <xf numFmtId="1" fontId="0" fillId="8" borderId="3" xfId="0" applyNumberFormat="1" applyFill="1" applyBorder="1" applyAlignment="1">
      <alignment vertical="center"/>
    </xf>
    <xf numFmtId="49" fontId="0" fillId="8" borderId="3" xfId="0" applyNumberFormat="1" applyFill="1" applyBorder="1" applyAlignment="1">
      <alignment horizontal="center" vertical="center"/>
    </xf>
    <xf numFmtId="14" fontId="0" fillId="8" borderId="3" xfId="0" applyNumberFormat="1" applyFill="1" applyBorder="1" applyAlignment="1">
      <alignment vertical="center"/>
    </xf>
    <xf numFmtId="0" fontId="0" fillId="8" borderId="4" xfId="0" applyFill="1" applyBorder="1" applyAlignment="1">
      <alignment vertical="center"/>
    </xf>
    <xf numFmtId="1" fontId="0" fillId="8" borderId="4" xfId="0" applyNumberFormat="1" applyFill="1" applyBorder="1" applyAlignment="1">
      <alignment vertical="center"/>
    </xf>
    <xf numFmtId="49" fontId="0" fillId="8" borderId="4" xfId="0" applyNumberFormat="1" applyFill="1" applyBorder="1" applyAlignment="1">
      <alignment horizontal="center" vertical="center"/>
    </xf>
    <xf numFmtId="14" fontId="0" fillId="8" borderId="4" xfId="0" applyNumberFormat="1" applyFill="1" applyBorder="1" applyAlignment="1">
      <alignment vertical="center"/>
    </xf>
    <xf numFmtId="1" fontId="0" fillId="9" borderId="3" xfId="0" applyNumberFormat="1" applyFill="1" applyBorder="1" applyAlignment="1">
      <alignment vertical="center"/>
    </xf>
    <xf numFmtId="49" fontId="0" fillId="9" borderId="3" xfId="0" applyNumberFormat="1" applyFill="1" applyBorder="1" applyAlignment="1">
      <alignment horizontal="center" vertical="center"/>
    </xf>
    <xf numFmtId="14" fontId="0" fillId="9" borderId="3" xfId="0" applyNumberFormat="1" applyFill="1" applyBorder="1" applyAlignment="1">
      <alignment vertical="center"/>
    </xf>
    <xf numFmtId="1" fontId="0" fillId="9" borderId="4" xfId="0" applyNumberFormat="1" applyFill="1" applyBorder="1" applyAlignment="1">
      <alignment vertical="center"/>
    </xf>
    <xf numFmtId="49" fontId="0" fillId="9" borderId="4" xfId="0" applyNumberFormat="1" applyFill="1" applyBorder="1" applyAlignment="1">
      <alignment horizontal="center" vertical="center"/>
    </xf>
    <xf numFmtId="14" fontId="0" fillId="9" borderId="4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1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vertical="center"/>
    </xf>
    <xf numFmtId="44" fontId="0" fillId="0" borderId="2" xfId="2" applyFont="1" applyBorder="1" applyAlignment="1">
      <alignment vertical="center"/>
    </xf>
    <xf numFmtId="0" fontId="0" fillId="0" borderId="4" xfId="0" applyBorder="1" applyAlignment="1">
      <alignment vertical="center"/>
    </xf>
    <xf numFmtId="1" fontId="0" fillId="0" borderId="4" xfId="0" applyNumberFormat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14" fontId="0" fillId="0" borderId="4" xfId="0" applyNumberFormat="1" applyBorder="1" applyAlignment="1">
      <alignment vertical="center"/>
    </xf>
    <xf numFmtId="9" fontId="0" fillId="0" borderId="1" xfId="3" applyFont="1" applyBorder="1"/>
    <xf numFmtId="9" fontId="0" fillId="0" borderId="0" xfId="3" applyFont="1" applyBorder="1"/>
    <xf numFmtId="9" fontId="4" fillId="5" borderId="4" xfId="3" applyFont="1" applyFill="1" applyBorder="1" applyAlignment="1">
      <alignment horizontal="right" vertical="center"/>
    </xf>
    <xf numFmtId="9" fontId="4" fillId="8" borderId="3" xfId="3" applyFont="1" applyFill="1" applyBorder="1" applyAlignment="1">
      <alignment horizontal="right" vertical="center"/>
    </xf>
    <xf numFmtId="9" fontId="4" fillId="2" borderId="6" xfId="3" applyFont="1" applyFill="1" applyBorder="1" applyAlignment="1">
      <alignment horizontal="right" vertical="center"/>
    </xf>
    <xf numFmtId="9" fontId="4" fillId="2" borderId="4" xfId="3" applyFont="1" applyFill="1" applyBorder="1" applyAlignment="1">
      <alignment horizontal="right" vertical="center"/>
    </xf>
    <xf numFmtId="9" fontId="4" fillId="4" borderId="4" xfId="3" applyFont="1" applyFill="1" applyBorder="1" applyAlignment="1">
      <alignment horizontal="right" vertical="center"/>
    </xf>
    <xf numFmtId="9" fontId="4" fillId="5" borderId="2" xfId="3" applyFont="1" applyFill="1" applyBorder="1" applyAlignment="1">
      <alignment horizontal="right" vertical="center"/>
    </xf>
    <xf numFmtId="9" fontId="4" fillId="3" borderId="2" xfId="3" applyFont="1" applyFill="1" applyBorder="1" applyAlignment="1">
      <alignment horizontal="right" vertical="center"/>
    </xf>
    <xf numFmtId="9" fontId="4" fillId="6" borderId="2" xfId="3" applyFont="1" applyFill="1" applyBorder="1" applyAlignment="1">
      <alignment horizontal="right" vertical="center"/>
    </xf>
    <xf numFmtId="9" fontId="4" fillId="7" borderId="2" xfId="3" applyFont="1" applyFill="1" applyBorder="1" applyAlignment="1">
      <alignment horizontal="right" vertical="center"/>
    </xf>
    <xf numFmtId="9" fontId="4" fillId="0" borderId="3" xfId="3" applyFont="1" applyBorder="1" applyAlignment="1">
      <alignment horizontal="right" vertical="center"/>
    </xf>
    <xf numFmtId="9" fontId="4" fillId="5" borderId="3" xfId="3" applyFont="1" applyFill="1" applyBorder="1" applyAlignment="1">
      <alignment horizontal="right" vertical="center"/>
    </xf>
    <xf numFmtId="9" fontId="4" fillId="0" borderId="0" xfId="3" applyFont="1" applyBorder="1" applyAlignment="1">
      <alignment horizontal="right" vertical="center"/>
    </xf>
    <xf numFmtId="9" fontId="4" fillId="8" borderId="4" xfId="3" applyFont="1" applyFill="1" applyBorder="1" applyAlignment="1">
      <alignment horizontal="right" vertical="center"/>
    </xf>
    <xf numFmtId="9" fontId="4" fillId="9" borderId="3" xfId="3" applyFont="1" applyFill="1" applyBorder="1" applyAlignment="1">
      <alignment horizontal="right" vertical="center"/>
    </xf>
    <xf numFmtId="9" fontId="4" fillId="9" borderId="4" xfId="3" applyFont="1" applyFill="1" applyBorder="1" applyAlignment="1">
      <alignment horizontal="right" vertical="center"/>
    </xf>
    <xf numFmtId="9" fontId="4" fillId="0" borderId="2" xfId="3" applyFont="1" applyBorder="1" applyAlignment="1">
      <alignment horizontal="right" vertical="center"/>
    </xf>
    <xf numFmtId="0" fontId="0" fillId="14" borderId="3" xfId="0" applyFill="1" applyBorder="1" applyAlignment="1">
      <alignment vertical="center"/>
    </xf>
    <xf numFmtId="1" fontId="0" fillId="14" borderId="3" xfId="0" applyNumberFormat="1" applyFill="1" applyBorder="1" applyAlignment="1">
      <alignment vertical="center"/>
    </xf>
    <xf numFmtId="49" fontId="0" fillId="14" borderId="3" xfId="0" applyNumberFormat="1" applyFill="1" applyBorder="1" applyAlignment="1">
      <alignment horizontal="center" vertical="center"/>
    </xf>
    <xf numFmtId="1" fontId="0" fillId="14" borderId="3" xfId="0" applyNumberFormat="1" applyFill="1" applyBorder="1" applyAlignment="1">
      <alignment horizontal="center" vertical="center"/>
    </xf>
    <xf numFmtId="14" fontId="0" fillId="14" borderId="3" xfId="0" applyNumberFormat="1" applyFill="1" applyBorder="1" applyAlignment="1">
      <alignment vertical="center"/>
    </xf>
    <xf numFmtId="166" fontId="10" fillId="14" borderId="3" xfId="0" applyNumberFormat="1" applyFont="1" applyFill="1" applyBorder="1" applyAlignment="1">
      <alignment vertical="center"/>
    </xf>
    <xf numFmtId="166" fontId="0" fillId="14" borderId="3" xfId="0" applyNumberFormat="1" applyFill="1" applyBorder="1" applyAlignment="1">
      <alignment vertical="center"/>
    </xf>
    <xf numFmtId="166" fontId="0" fillId="14" borderId="3" xfId="0" applyNumberFormat="1" applyFill="1" applyBorder="1" applyAlignment="1">
      <alignment horizontal="center" vertical="center"/>
    </xf>
    <xf numFmtId="44" fontId="0" fillId="14" borderId="3" xfId="2" applyFont="1" applyFill="1" applyBorder="1" applyAlignment="1">
      <alignment vertical="center"/>
    </xf>
    <xf numFmtId="0" fontId="0" fillId="14" borderId="0" xfId="0" applyFill="1" applyAlignment="1">
      <alignment vertical="center"/>
    </xf>
    <xf numFmtId="1" fontId="0" fillId="14" borderId="0" xfId="0" applyNumberFormat="1" applyFill="1" applyAlignment="1">
      <alignment vertical="center"/>
    </xf>
    <xf numFmtId="49" fontId="0" fillId="14" borderId="0" xfId="0" applyNumberFormat="1" applyFill="1" applyAlignment="1">
      <alignment horizontal="center" vertical="center"/>
    </xf>
    <xf numFmtId="1" fontId="0" fillId="14" borderId="0" xfId="0" applyNumberFormat="1" applyFill="1" applyAlignment="1">
      <alignment horizontal="center" vertical="center"/>
    </xf>
    <xf numFmtId="14" fontId="0" fillId="14" borderId="0" xfId="0" applyNumberFormat="1" applyFill="1" applyAlignment="1">
      <alignment vertical="center"/>
    </xf>
    <xf numFmtId="166" fontId="0" fillId="14" borderId="0" xfId="0" applyNumberFormat="1" applyFill="1" applyAlignment="1">
      <alignment vertical="center"/>
    </xf>
    <xf numFmtId="166" fontId="0" fillId="14" borderId="0" xfId="0" applyNumberFormat="1" applyFill="1" applyAlignment="1">
      <alignment horizontal="center" vertical="center"/>
    </xf>
    <xf numFmtId="44" fontId="0" fillId="14" borderId="0" xfId="2" applyFont="1" applyFill="1" applyBorder="1" applyAlignment="1">
      <alignment vertical="center"/>
    </xf>
    <xf numFmtId="0" fontId="0" fillId="14" borderId="4" xfId="0" applyFill="1" applyBorder="1" applyAlignment="1">
      <alignment vertical="center"/>
    </xf>
    <xf numFmtId="1" fontId="0" fillId="14" borderId="4" xfId="0" applyNumberFormat="1" applyFill="1" applyBorder="1" applyAlignment="1">
      <alignment vertical="center"/>
    </xf>
    <xf numFmtId="49" fontId="0" fillId="14" borderId="4" xfId="0" applyNumberFormat="1" applyFill="1" applyBorder="1" applyAlignment="1">
      <alignment horizontal="center" vertical="center"/>
    </xf>
    <xf numFmtId="1" fontId="0" fillId="14" borderId="4" xfId="0" applyNumberFormat="1" applyFill="1" applyBorder="1" applyAlignment="1">
      <alignment horizontal="center" vertical="center"/>
    </xf>
    <xf numFmtId="14" fontId="0" fillId="14" borderId="4" xfId="0" applyNumberFormat="1" applyFill="1" applyBorder="1" applyAlignment="1">
      <alignment vertical="center"/>
    </xf>
    <xf numFmtId="166" fontId="0" fillId="14" borderId="4" xfId="0" applyNumberFormat="1" applyFill="1" applyBorder="1" applyAlignment="1">
      <alignment vertical="center"/>
    </xf>
    <xf numFmtId="166" fontId="0" fillId="14" borderId="4" xfId="0" applyNumberFormat="1" applyFill="1" applyBorder="1" applyAlignment="1">
      <alignment horizontal="center" vertical="center"/>
    </xf>
    <xf numFmtId="44" fontId="0" fillId="14" borderId="4" xfId="2" applyFont="1" applyFill="1" applyBorder="1" applyAlignment="1">
      <alignment vertical="center"/>
    </xf>
    <xf numFmtId="0" fontId="0" fillId="15" borderId="3" xfId="0" applyFill="1" applyBorder="1" applyAlignment="1">
      <alignment vertical="center" wrapText="1"/>
    </xf>
    <xf numFmtId="1" fontId="0" fillId="15" borderId="3" xfId="0" applyNumberFormat="1" applyFill="1" applyBorder="1" applyAlignment="1">
      <alignment vertical="center"/>
    </xf>
    <xf numFmtId="49" fontId="0" fillId="15" borderId="3" xfId="0" applyNumberFormat="1" applyFill="1" applyBorder="1" applyAlignment="1">
      <alignment horizontal="center" vertical="center"/>
    </xf>
    <xf numFmtId="1" fontId="0" fillId="15" borderId="3" xfId="0" applyNumberFormat="1" applyFill="1" applyBorder="1" applyAlignment="1">
      <alignment horizontal="center" vertical="center"/>
    </xf>
    <xf numFmtId="14" fontId="0" fillId="15" borderId="3" xfId="0" applyNumberFormat="1" applyFill="1" applyBorder="1" applyAlignment="1">
      <alignment vertical="center"/>
    </xf>
    <xf numFmtId="166" fontId="10" fillId="15" borderId="3" xfId="0" applyNumberFormat="1" applyFont="1" applyFill="1" applyBorder="1" applyAlignment="1">
      <alignment vertical="center"/>
    </xf>
    <xf numFmtId="166" fontId="0" fillId="15" borderId="3" xfId="0" applyNumberFormat="1" applyFill="1" applyBorder="1" applyAlignment="1">
      <alignment vertical="center"/>
    </xf>
    <xf numFmtId="166" fontId="0" fillId="15" borderId="3" xfId="0" applyNumberFormat="1" applyFill="1" applyBorder="1" applyAlignment="1">
      <alignment horizontal="center" vertical="center"/>
    </xf>
    <xf numFmtId="44" fontId="0" fillId="15" borderId="3" xfId="2" applyFont="1" applyFill="1" applyBorder="1" applyAlignment="1">
      <alignment vertical="center"/>
    </xf>
    <xf numFmtId="1" fontId="0" fillId="15" borderId="0" xfId="0" applyNumberFormat="1" applyFill="1" applyAlignment="1">
      <alignment vertical="center"/>
    </xf>
    <xf numFmtId="49" fontId="0" fillId="15" borderId="0" xfId="0" applyNumberFormat="1" applyFill="1" applyAlignment="1">
      <alignment horizontal="center" vertical="center"/>
    </xf>
    <xf numFmtId="1" fontId="0" fillId="15" borderId="0" xfId="0" applyNumberFormat="1" applyFill="1" applyAlignment="1">
      <alignment horizontal="center" vertical="center"/>
    </xf>
    <xf numFmtId="14" fontId="0" fillId="15" borderId="0" xfId="0" applyNumberFormat="1" applyFill="1" applyAlignment="1">
      <alignment vertical="center"/>
    </xf>
    <xf numFmtId="166" fontId="10" fillId="15" borderId="0" xfId="0" applyNumberFormat="1" applyFont="1" applyFill="1" applyAlignment="1">
      <alignment vertical="center"/>
    </xf>
    <xf numFmtId="166" fontId="0" fillId="15" borderId="0" xfId="0" applyNumberFormat="1" applyFill="1" applyAlignment="1">
      <alignment vertical="center"/>
    </xf>
    <xf numFmtId="166" fontId="0" fillId="15" borderId="0" xfId="0" applyNumberFormat="1" applyFill="1" applyAlignment="1">
      <alignment horizontal="center" vertical="center"/>
    </xf>
    <xf numFmtId="44" fontId="0" fillId="15" borderId="0" xfId="2" applyFont="1" applyFill="1" applyBorder="1" applyAlignment="1">
      <alignment vertical="center"/>
    </xf>
    <xf numFmtId="0" fontId="0" fillId="15" borderId="4" xfId="0" applyFill="1" applyBorder="1" applyAlignment="1">
      <alignment vertical="center"/>
    </xf>
    <xf numFmtId="1" fontId="0" fillId="15" borderId="4" xfId="0" applyNumberFormat="1" applyFill="1" applyBorder="1" applyAlignment="1">
      <alignment vertical="center"/>
    </xf>
    <xf numFmtId="49" fontId="0" fillId="15" borderId="4" xfId="0" applyNumberFormat="1" applyFill="1" applyBorder="1" applyAlignment="1">
      <alignment horizontal="center" vertical="center"/>
    </xf>
    <xf numFmtId="1" fontId="0" fillId="15" borderId="4" xfId="0" applyNumberFormat="1" applyFill="1" applyBorder="1" applyAlignment="1">
      <alignment horizontal="center" vertical="center"/>
    </xf>
    <xf numFmtId="14" fontId="0" fillId="15" borderId="4" xfId="0" applyNumberFormat="1" applyFill="1" applyBorder="1" applyAlignment="1">
      <alignment vertical="center"/>
    </xf>
    <xf numFmtId="166" fontId="0" fillId="15" borderId="4" xfId="0" applyNumberFormat="1" applyFill="1" applyBorder="1" applyAlignment="1">
      <alignment vertical="center"/>
    </xf>
    <xf numFmtId="166" fontId="0" fillId="15" borderId="4" xfId="0" applyNumberFormat="1" applyFill="1" applyBorder="1" applyAlignment="1">
      <alignment horizontal="center" vertical="center"/>
    </xf>
    <xf numFmtId="44" fontId="0" fillId="15" borderId="4" xfId="2" applyFont="1" applyFill="1" applyBorder="1" applyAlignment="1">
      <alignment vertical="center"/>
    </xf>
    <xf numFmtId="0" fontId="0" fillId="16" borderId="3" xfId="0" applyFill="1" applyBorder="1" applyAlignment="1">
      <alignment vertical="center" wrapText="1"/>
    </xf>
    <xf numFmtId="1" fontId="0" fillId="16" borderId="3" xfId="0" applyNumberFormat="1" applyFill="1" applyBorder="1" applyAlignment="1">
      <alignment vertical="center"/>
    </xf>
    <xf numFmtId="49" fontId="0" fillId="16" borderId="3" xfId="0" applyNumberFormat="1" applyFill="1" applyBorder="1" applyAlignment="1">
      <alignment horizontal="center" vertical="center"/>
    </xf>
    <xf numFmtId="1" fontId="0" fillId="16" borderId="3" xfId="0" applyNumberFormat="1" applyFill="1" applyBorder="1" applyAlignment="1">
      <alignment horizontal="center" vertical="center"/>
    </xf>
    <xf numFmtId="14" fontId="0" fillId="16" borderId="3" xfId="0" applyNumberFormat="1" applyFill="1" applyBorder="1" applyAlignment="1">
      <alignment vertical="center"/>
    </xf>
    <xf numFmtId="166" fontId="10" fillId="16" borderId="3" xfId="0" applyNumberFormat="1" applyFont="1" applyFill="1" applyBorder="1" applyAlignment="1">
      <alignment vertical="center"/>
    </xf>
    <xf numFmtId="166" fontId="0" fillId="16" borderId="3" xfId="0" applyNumberFormat="1" applyFill="1" applyBorder="1" applyAlignment="1">
      <alignment vertical="center"/>
    </xf>
    <xf numFmtId="166" fontId="0" fillId="16" borderId="3" xfId="0" applyNumberFormat="1" applyFill="1" applyBorder="1" applyAlignment="1">
      <alignment horizontal="center" vertical="center"/>
    </xf>
    <xf numFmtId="44" fontId="0" fillId="16" borderId="3" xfId="2" applyFont="1" applyFill="1" applyBorder="1" applyAlignment="1">
      <alignment vertical="center"/>
    </xf>
    <xf numFmtId="0" fontId="0" fillId="16" borderId="0" xfId="0" applyFill="1" applyAlignment="1">
      <alignment vertical="center"/>
    </xf>
    <xf numFmtId="1" fontId="0" fillId="16" borderId="0" xfId="0" applyNumberFormat="1" applyFill="1" applyAlignment="1">
      <alignment vertical="center"/>
    </xf>
    <xf numFmtId="49" fontId="0" fillId="16" borderId="0" xfId="0" applyNumberFormat="1" applyFill="1" applyAlignment="1">
      <alignment horizontal="center" vertical="center"/>
    </xf>
    <xf numFmtId="1" fontId="0" fillId="16" borderId="0" xfId="0" applyNumberFormat="1" applyFill="1" applyAlignment="1">
      <alignment horizontal="center" vertical="center"/>
    </xf>
    <xf numFmtId="14" fontId="0" fillId="16" borderId="0" xfId="0" applyNumberFormat="1" applyFill="1" applyAlignment="1">
      <alignment vertical="center"/>
    </xf>
    <xf numFmtId="166" fontId="0" fillId="16" borderId="0" xfId="0" applyNumberFormat="1" applyFill="1" applyAlignment="1">
      <alignment vertical="center"/>
    </xf>
    <xf numFmtId="166" fontId="0" fillId="16" borderId="0" xfId="0" applyNumberFormat="1" applyFill="1" applyAlignment="1">
      <alignment horizontal="center" vertical="center"/>
    </xf>
    <xf numFmtId="44" fontId="0" fillId="16" borderId="0" xfId="2" applyFont="1" applyFill="1" applyBorder="1" applyAlignment="1">
      <alignment vertical="center"/>
    </xf>
    <xf numFmtId="0" fontId="0" fillId="16" borderId="4" xfId="0" applyFill="1" applyBorder="1" applyAlignment="1">
      <alignment vertical="center"/>
    </xf>
    <xf numFmtId="1" fontId="0" fillId="16" borderId="4" xfId="0" applyNumberFormat="1" applyFill="1" applyBorder="1" applyAlignment="1">
      <alignment vertical="center"/>
    </xf>
    <xf numFmtId="49" fontId="0" fillId="16" borderId="4" xfId="0" applyNumberFormat="1" applyFill="1" applyBorder="1" applyAlignment="1">
      <alignment horizontal="center" vertical="center"/>
    </xf>
    <xf numFmtId="1" fontId="0" fillId="16" borderId="4" xfId="0" applyNumberFormat="1" applyFill="1" applyBorder="1" applyAlignment="1">
      <alignment horizontal="center" vertical="center"/>
    </xf>
    <xf numFmtId="14" fontId="0" fillId="16" borderId="4" xfId="0" applyNumberFormat="1" applyFill="1" applyBorder="1" applyAlignment="1">
      <alignment vertical="center"/>
    </xf>
    <xf numFmtId="166" fontId="0" fillId="16" borderId="4" xfId="0" applyNumberFormat="1" applyFill="1" applyBorder="1" applyAlignment="1">
      <alignment vertical="center"/>
    </xf>
    <xf numFmtId="166" fontId="0" fillId="16" borderId="4" xfId="0" applyNumberFormat="1" applyFill="1" applyBorder="1" applyAlignment="1">
      <alignment horizontal="center" vertical="center"/>
    </xf>
    <xf numFmtId="44" fontId="0" fillId="16" borderId="4" xfId="2" applyFont="1" applyFill="1" applyBorder="1" applyAlignment="1">
      <alignment vertical="center"/>
    </xf>
    <xf numFmtId="0" fontId="0" fillId="17" borderId="3" xfId="0" applyFill="1" applyBorder="1" applyAlignment="1">
      <alignment vertical="center" wrapText="1"/>
    </xf>
    <xf numFmtId="1" fontId="0" fillId="17" borderId="3" xfId="0" applyNumberFormat="1" applyFill="1" applyBorder="1" applyAlignment="1">
      <alignment vertical="center"/>
    </xf>
    <xf numFmtId="49" fontId="0" fillId="17" borderId="3" xfId="0" applyNumberFormat="1" applyFill="1" applyBorder="1" applyAlignment="1">
      <alignment horizontal="center" vertical="center"/>
    </xf>
    <xf numFmtId="1" fontId="0" fillId="17" borderId="3" xfId="0" applyNumberFormat="1" applyFill="1" applyBorder="1" applyAlignment="1">
      <alignment horizontal="center" vertical="center"/>
    </xf>
    <xf numFmtId="14" fontId="0" fillId="17" borderId="3" xfId="0" applyNumberFormat="1" applyFill="1" applyBorder="1" applyAlignment="1">
      <alignment vertical="center"/>
    </xf>
    <xf numFmtId="166" fontId="10" fillId="17" borderId="3" xfId="0" applyNumberFormat="1" applyFont="1" applyFill="1" applyBorder="1" applyAlignment="1">
      <alignment vertical="center"/>
    </xf>
    <xf numFmtId="166" fontId="0" fillId="17" borderId="3" xfId="0" applyNumberFormat="1" applyFill="1" applyBorder="1" applyAlignment="1">
      <alignment vertical="center"/>
    </xf>
    <xf numFmtId="166" fontId="0" fillId="17" borderId="3" xfId="0" applyNumberFormat="1" applyFill="1" applyBorder="1" applyAlignment="1">
      <alignment horizontal="right" vertical="center"/>
    </xf>
    <xf numFmtId="44" fontId="0" fillId="17" borderId="3" xfId="2" applyFont="1" applyFill="1" applyBorder="1" applyAlignment="1">
      <alignment vertical="center"/>
    </xf>
    <xf numFmtId="0" fontId="0" fillId="17" borderId="0" xfId="0" applyFill="1" applyAlignment="1">
      <alignment vertical="center"/>
    </xf>
    <xf numFmtId="1" fontId="0" fillId="17" borderId="0" xfId="0" applyNumberFormat="1" applyFill="1" applyAlignment="1">
      <alignment vertical="center"/>
    </xf>
    <xf numFmtId="49" fontId="0" fillId="17" borderId="0" xfId="0" applyNumberFormat="1" applyFill="1" applyAlignment="1">
      <alignment horizontal="center" vertical="center"/>
    </xf>
    <xf numFmtId="1" fontId="0" fillId="17" borderId="0" xfId="0" applyNumberFormat="1" applyFill="1" applyAlignment="1">
      <alignment horizontal="center" vertical="center"/>
    </xf>
    <xf numFmtId="14" fontId="0" fillId="17" borderId="0" xfId="0" applyNumberFormat="1" applyFill="1" applyAlignment="1">
      <alignment vertical="center"/>
    </xf>
    <xf numFmtId="166" fontId="10" fillId="17" borderId="0" xfId="0" applyNumberFormat="1" applyFont="1" applyFill="1" applyAlignment="1">
      <alignment vertical="center"/>
    </xf>
    <xf numFmtId="166" fontId="0" fillId="17" borderId="0" xfId="0" applyNumberFormat="1" applyFill="1" applyAlignment="1">
      <alignment vertical="center"/>
    </xf>
    <xf numFmtId="166" fontId="0" fillId="17" borderId="0" xfId="0" applyNumberFormat="1" applyFill="1" applyAlignment="1">
      <alignment horizontal="right" vertical="center"/>
    </xf>
    <xf numFmtId="44" fontId="0" fillId="17" borderId="0" xfId="2" applyFont="1" applyFill="1" applyBorder="1" applyAlignment="1">
      <alignment vertical="center"/>
    </xf>
    <xf numFmtId="0" fontId="0" fillId="17" borderId="4" xfId="0" applyFill="1" applyBorder="1" applyAlignment="1">
      <alignment vertical="center"/>
    </xf>
    <xf numFmtId="1" fontId="0" fillId="17" borderId="4" xfId="0" applyNumberFormat="1" applyFill="1" applyBorder="1" applyAlignment="1">
      <alignment vertical="center"/>
    </xf>
    <xf numFmtId="49" fontId="0" fillId="17" borderId="4" xfId="0" applyNumberFormat="1" applyFill="1" applyBorder="1" applyAlignment="1">
      <alignment horizontal="center" vertical="center"/>
    </xf>
    <xf numFmtId="1" fontId="0" fillId="17" borderId="4" xfId="0" applyNumberFormat="1" applyFill="1" applyBorder="1" applyAlignment="1">
      <alignment horizontal="center" vertical="center"/>
    </xf>
    <xf numFmtId="14" fontId="0" fillId="17" borderId="4" xfId="0" applyNumberFormat="1" applyFill="1" applyBorder="1" applyAlignment="1">
      <alignment vertical="center"/>
    </xf>
    <xf numFmtId="166" fontId="0" fillId="17" borderId="4" xfId="0" applyNumberFormat="1" applyFill="1" applyBorder="1" applyAlignment="1">
      <alignment vertical="center"/>
    </xf>
    <xf numFmtId="166" fontId="0" fillId="17" borderId="4" xfId="0" applyNumberFormat="1" applyFill="1" applyBorder="1" applyAlignment="1">
      <alignment horizontal="right" vertical="center"/>
    </xf>
    <xf numFmtId="44" fontId="0" fillId="17" borderId="4" xfId="2" applyFont="1" applyFill="1" applyBorder="1" applyAlignment="1">
      <alignment vertical="center"/>
    </xf>
    <xf numFmtId="164" fontId="13" fillId="13" borderId="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4" fontId="0" fillId="2" borderId="10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64" fontId="0" fillId="2" borderId="12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64" fontId="0" fillId="4" borderId="12" xfId="0" applyNumberFormat="1" applyFill="1" applyBorder="1" applyAlignment="1">
      <alignment horizontal="right" vertical="center"/>
    </xf>
    <xf numFmtId="164" fontId="0" fillId="5" borderId="14" xfId="0" applyNumberFormat="1" applyFill="1" applyBorder="1" applyAlignment="1">
      <alignment horizontal="right" vertical="center"/>
    </xf>
    <xf numFmtId="164" fontId="0" fillId="3" borderId="14" xfId="0" applyNumberFormat="1" applyFill="1" applyBorder="1" applyAlignment="1">
      <alignment horizontal="right" vertical="center"/>
    </xf>
    <xf numFmtId="164" fontId="0" fillId="6" borderId="14" xfId="0" applyNumberFormat="1" applyFill="1" applyBorder="1" applyAlignment="1">
      <alignment horizontal="right" vertical="center"/>
    </xf>
    <xf numFmtId="164" fontId="0" fillId="7" borderId="14" xfId="0" applyNumberFormat="1" applyFill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64" fontId="0" fillId="5" borderId="10" xfId="0" applyNumberFormat="1" applyFill="1" applyBorder="1" applyAlignment="1">
      <alignment horizontal="right" vertical="center"/>
    </xf>
    <xf numFmtId="164" fontId="0" fillId="5" borderId="12" xfId="0" applyNumberFormat="1" applyFill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0" fillId="8" borderId="10" xfId="0" applyNumberFormat="1" applyFill="1" applyBorder="1" applyAlignment="1">
      <alignment horizontal="right" vertical="center"/>
    </xf>
    <xf numFmtId="164" fontId="0" fillId="8" borderId="12" xfId="0" applyNumberFormat="1" applyFill="1" applyBorder="1" applyAlignment="1">
      <alignment horizontal="right" vertical="center"/>
    </xf>
    <xf numFmtId="164" fontId="0" fillId="9" borderId="10" xfId="0" applyNumberFormat="1" applyFill="1" applyBorder="1" applyAlignment="1">
      <alignment horizontal="right" vertical="center"/>
    </xf>
    <xf numFmtId="164" fontId="0" fillId="9" borderId="12" xfId="0" applyNumberForma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64" fontId="0" fillId="0" borderId="14" xfId="0" applyNumberFormat="1" applyBorder="1" applyAlignment="1">
      <alignment horizontal="right" vertical="center"/>
    </xf>
    <xf numFmtId="0" fontId="0" fillId="0" borderId="18" xfId="0" applyBorder="1" applyAlignment="1">
      <alignment vertical="center"/>
    </xf>
    <xf numFmtId="1" fontId="0" fillId="0" borderId="18" xfId="0" applyNumberFormat="1" applyBorder="1" applyAlignment="1">
      <alignment vertical="center"/>
    </xf>
    <xf numFmtId="1" fontId="0" fillId="0" borderId="18" xfId="0" applyNumberFormat="1" applyBorder="1" applyAlignment="1">
      <alignment horizontal="center" vertical="center"/>
    </xf>
    <xf numFmtId="14" fontId="0" fillId="0" borderId="18" xfId="0" applyNumberFormat="1" applyBorder="1" applyAlignment="1">
      <alignment vertical="center"/>
    </xf>
    <xf numFmtId="9" fontId="4" fillId="0" borderId="18" xfId="3" applyFont="1" applyBorder="1" applyAlignment="1">
      <alignment horizontal="right" vertical="center"/>
    </xf>
    <xf numFmtId="166" fontId="0" fillId="0" borderId="18" xfId="0" applyNumberFormat="1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44" fontId="0" fillId="0" borderId="18" xfId="2" applyFont="1" applyBorder="1" applyAlignment="1">
      <alignment vertical="center"/>
    </xf>
    <xf numFmtId="164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16" borderId="21" xfId="0" applyFill="1" applyBorder="1" applyAlignment="1">
      <alignment vertical="center"/>
    </xf>
    <xf numFmtId="1" fontId="0" fillId="16" borderId="21" xfId="0" applyNumberFormat="1" applyFill="1" applyBorder="1" applyAlignment="1">
      <alignment vertical="center"/>
    </xf>
    <xf numFmtId="49" fontId="0" fillId="16" borderId="21" xfId="0" applyNumberFormat="1" applyFill="1" applyBorder="1" applyAlignment="1">
      <alignment horizontal="center" vertical="center"/>
    </xf>
    <xf numFmtId="1" fontId="0" fillId="16" borderId="21" xfId="0" applyNumberFormat="1" applyFill="1" applyBorder="1" applyAlignment="1">
      <alignment horizontal="center" vertical="center"/>
    </xf>
    <xf numFmtId="14" fontId="0" fillId="16" borderId="21" xfId="0" applyNumberFormat="1" applyFill="1" applyBorder="1" applyAlignment="1">
      <alignment vertical="center"/>
    </xf>
    <xf numFmtId="166" fontId="0" fillId="16" borderId="21" xfId="0" applyNumberFormat="1" applyFill="1" applyBorder="1" applyAlignment="1">
      <alignment vertical="center"/>
    </xf>
    <xf numFmtId="166" fontId="0" fillId="16" borderId="21" xfId="0" applyNumberFormat="1" applyFill="1" applyBorder="1" applyAlignment="1">
      <alignment horizontal="center" vertical="center"/>
    </xf>
    <xf numFmtId="44" fontId="0" fillId="16" borderId="21" xfId="2" applyFont="1" applyFill="1" applyBorder="1" applyAlignment="1">
      <alignment vertical="center"/>
    </xf>
    <xf numFmtId="0" fontId="0" fillId="0" borderId="25" xfId="0" applyBorder="1" applyAlignment="1">
      <alignment horizontal="center"/>
    </xf>
    <xf numFmtId="0" fontId="10" fillId="0" borderId="6" xfId="0" applyFont="1" applyBorder="1" applyAlignment="1">
      <alignment horizontal="left"/>
    </xf>
    <xf numFmtId="1" fontId="0" fillId="0" borderId="6" xfId="0" applyNumberFormat="1" applyBorder="1"/>
    <xf numFmtId="1" fontId="0" fillId="0" borderId="6" xfId="0" applyNumberFormat="1" applyBorder="1" applyAlignment="1">
      <alignment horizontal="center" vertical="center"/>
    </xf>
    <xf numFmtId="0" fontId="0" fillId="0" borderId="6" xfId="0" applyBorder="1"/>
    <xf numFmtId="164" fontId="0" fillId="0" borderId="6" xfId="0" applyNumberFormat="1" applyBorder="1" applyAlignment="1">
      <alignment vertical="center"/>
    </xf>
    <xf numFmtId="164" fontId="0" fillId="0" borderId="6" xfId="0" applyNumberFormat="1" applyBorder="1"/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1" fontId="0" fillId="0" borderId="18" xfId="0" applyNumberFormat="1" applyBorder="1"/>
    <xf numFmtId="0" fontId="0" fillId="0" borderId="18" xfId="0" applyBorder="1"/>
    <xf numFmtId="164" fontId="0" fillId="0" borderId="18" xfId="0" applyNumberFormat="1" applyBorder="1" applyAlignment="1">
      <alignment vertical="center"/>
    </xf>
    <xf numFmtId="164" fontId="0" fillId="0" borderId="18" xfId="0" applyNumberFormat="1" applyBorder="1"/>
    <xf numFmtId="0" fontId="10" fillId="0" borderId="6" xfId="0" applyFont="1" applyBorder="1"/>
    <xf numFmtId="164" fontId="0" fillId="0" borderId="13" xfId="0" applyNumberFormat="1" applyBorder="1"/>
    <xf numFmtId="171" fontId="0" fillId="0" borderId="1" xfId="3" applyNumberFormat="1" applyFont="1" applyBorder="1"/>
    <xf numFmtId="171" fontId="0" fillId="6" borderId="1" xfId="3" applyNumberFormat="1" applyFont="1" applyFill="1" applyBorder="1"/>
    <xf numFmtId="168" fontId="0" fillId="2" borderId="1" xfId="0" applyNumberFormat="1" applyFill="1" applyBorder="1" applyAlignment="1">
      <alignment wrapText="1"/>
    </xf>
    <xf numFmtId="168" fontId="0" fillId="6" borderId="1" xfId="0" applyNumberFormat="1" applyFill="1" applyBorder="1" applyAlignment="1">
      <alignment wrapText="1"/>
    </xf>
    <xf numFmtId="9" fontId="0" fillId="2" borderId="1" xfId="3" applyFont="1" applyFill="1" applyBorder="1" applyAlignment="1">
      <alignment horizontal="center"/>
    </xf>
    <xf numFmtId="9" fontId="0" fillId="6" borderId="1" xfId="3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27" xfId="0" applyBorder="1" applyAlignment="1">
      <alignment horizontal="right"/>
    </xf>
    <xf numFmtId="4" fontId="0" fillId="0" borderId="27" xfId="1" applyNumberFormat="1" applyFont="1" applyBorder="1"/>
    <xf numFmtId="1" fontId="0" fillId="0" borderId="27" xfId="0" applyNumberFormat="1" applyBorder="1"/>
    <xf numFmtId="164" fontId="0" fillId="0" borderId="6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9" fontId="0" fillId="0" borderId="28" xfId="3" applyFont="1" applyBorder="1"/>
    <xf numFmtId="1" fontId="0" fillId="0" borderId="28" xfId="0" applyNumberFormat="1" applyBorder="1"/>
    <xf numFmtId="164" fontId="0" fillId="0" borderId="18" xfId="0" applyNumberFormat="1" applyBorder="1" applyAlignment="1">
      <alignment horizontal="right"/>
    </xf>
    <xf numFmtId="4" fontId="0" fillId="0" borderId="28" xfId="0" applyNumberFormat="1" applyBorder="1"/>
    <xf numFmtId="164" fontId="13" fillId="13" borderId="29" xfId="0" applyNumberFormat="1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right" vertical="center" wrapText="1"/>
    </xf>
    <xf numFmtId="165" fontId="0" fillId="18" borderId="1" xfId="1" applyNumberFormat="1" applyFont="1" applyFill="1" applyBorder="1" applyAlignment="1">
      <alignment horizontal="right" vertical="center"/>
    </xf>
    <xf numFmtId="164" fontId="0" fillId="0" borderId="26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1" fontId="0" fillId="0" borderId="15" xfId="0" applyNumberFormat="1" applyBorder="1" applyAlignment="1">
      <alignment horizontal="right" vertical="center"/>
    </xf>
    <xf numFmtId="1" fontId="0" fillId="0" borderId="19" xfId="0" applyNumberFormat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26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166" fontId="10" fillId="0" borderId="0" xfId="1" applyNumberFormat="1" applyFont="1" applyAlignment="1">
      <alignment horizontal="center"/>
    </xf>
    <xf numFmtId="2" fontId="13" fillId="13" borderId="29" xfId="0" applyNumberFormat="1" applyFont="1" applyFill="1" applyBorder="1" applyAlignment="1">
      <alignment horizontal="center" vertical="center" wrapText="1"/>
    </xf>
    <xf numFmtId="2" fontId="0" fillId="2" borderId="6" xfId="1" applyNumberFormat="1" applyFont="1" applyFill="1" applyBorder="1" applyAlignment="1">
      <alignment horizontal="center" vertical="center"/>
    </xf>
    <xf numFmtId="2" fontId="0" fillId="2" borderId="4" xfId="1" applyNumberFormat="1" applyFon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6" borderId="2" xfId="0" applyNumberFormat="1" applyFill="1" applyBorder="1" applyAlignment="1">
      <alignment horizontal="center" vertical="center"/>
    </xf>
    <xf numFmtId="2" fontId="0" fillId="7" borderId="2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8" borderId="3" xfId="0" applyNumberFormat="1" applyFill="1" applyBorder="1" applyAlignment="1">
      <alignment horizontal="center" vertical="center"/>
    </xf>
    <xf numFmtId="2" fontId="0" fillId="8" borderId="4" xfId="0" applyNumberFormat="1" applyFill="1" applyBorder="1" applyAlignment="1">
      <alignment horizontal="center" vertical="center"/>
    </xf>
    <xf numFmtId="2" fontId="0" fillId="9" borderId="3" xfId="0" applyNumberFormat="1" applyFill="1" applyBorder="1" applyAlignment="1">
      <alignment horizontal="center" vertical="center"/>
    </xf>
    <xf numFmtId="2" fontId="0" fillId="9" borderId="4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8" xfId="2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2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19" borderId="3" xfId="0" applyFill="1" applyBorder="1" applyAlignment="1">
      <alignment vertical="center"/>
    </xf>
    <xf numFmtId="49" fontId="0" fillId="19" borderId="3" xfId="0" applyNumberFormat="1" applyFill="1" applyBorder="1" applyAlignment="1">
      <alignment horizontal="center" vertical="center"/>
    </xf>
    <xf numFmtId="1" fontId="0" fillId="19" borderId="3" xfId="0" applyNumberFormat="1" applyFill="1" applyBorder="1" applyAlignment="1">
      <alignment horizontal="center" vertical="center"/>
    </xf>
    <xf numFmtId="1" fontId="0" fillId="19" borderId="3" xfId="0" applyNumberFormat="1" applyFill="1" applyBorder="1" applyAlignment="1">
      <alignment vertical="center"/>
    </xf>
    <xf numFmtId="14" fontId="0" fillId="19" borderId="3" xfId="0" applyNumberFormat="1" applyFill="1" applyBorder="1" applyAlignment="1">
      <alignment vertical="center"/>
    </xf>
    <xf numFmtId="9" fontId="4" fillId="19" borderId="3" xfId="3" applyFont="1" applyFill="1" applyBorder="1" applyAlignment="1">
      <alignment vertical="center"/>
    </xf>
    <xf numFmtId="166" fontId="0" fillId="19" borderId="3" xfId="0" applyNumberFormat="1" applyFill="1" applyBorder="1" applyAlignment="1">
      <alignment vertical="center"/>
    </xf>
    <xf numFmtId="44" fontId="0" fillId="19" borderId="3" xfId="2" applyFont="1" applyFill="1" applyBorder="1" applyAlignment="1">
      <alignment vertical="center"/>
    </xf>
    <xf numFmtId="0" fontId="0" fillId="19" borderId="4" xfId="0" applyFill="1" applyBorder="1" applyAlignment="1">
      <alignment vertical="center"/>
    </xf>
    <xf numFmtId="49" fontId="0" fillId="19" borderId="4" xfId="0" applyNumberFormat="1" applyFill="1" applyBorder="1" applyAlignment="1">
      <alignment horizontal="center" vertical="center"/>
    </xf>
    <xf numFmtId="1" fontId="0" fillId="19" borderId="4" xfId="0" applyNumberFormat="1" applyFill="1" applyBorder="1" applyAlignment="1">
      <alignment horizontal="center" vertical="center"/>
    </xf>
    <xf numFmtId="1" fontId="0" fillId="19" borderId="4" xfId="0" applyNumberFormat="1" applyFill="1" applyBorder="1" applyAlignment="1">
      <alignment vertical="center"/>
    </xf>
    <xf numFmtId="14" fontId="0" fillId="19" borderId="4" xfId="0" applyNumberFormat="1" applyFill="1" applyBorder="1" applyAlignment="1">
      <alignment vertical="center"/>
    </xf>
    <xf numFmtId="9" fontId="4" fillId="19" borderId="4" xfId="3" applyFont="1" applyFill="1" applyBorder="1" applyAlignment="1">
      <alignment vertical="center"/>
    </xf>
    <xf numFmtId="166" fontId="0" fillId="19" borderId="4" xfId="0" applyNumberFormat="1" applyFill="1" applyBorder="1" applyAlignment="1">
      <alignment vertical="center"/>
    </xf>
    <xf numFmtId="44" fontId="0" fillId="19" borderId="4" xfId="2" applyFont="1" applyFill="1" applyBorder="1" applyAlignment="1">
      <alignment vertical="center"/>
    </xf>
    <xf numFmtId="44" fontId="0" fillId="19" borderId="3" xfId="2" applyFont="1" applyFill="1" applyBorder="1" applyAlignment="1">
      <alignment vertical="center" wrapText="1"/>
    </xf>
    <xf numFmtId="44" fontId="0" fillId="19" borderId="4" xfId="2" applyFont="1" applyFill="1" applyBorder="1" applyAlignment="1">
      <alignment vertical="center" wrapText="1"/>
    </xf>
    <xf numFmtId="164" fontId="0" fillId="19" borderId="10" xfId="0" applyNumberFormat="1" applyFill="1" applyBorder="1" applyAlignment="1">
      <alignment vertical="center"/>
    </xf>
    <xf numFmtId="164" fontId="0" fillId="19" borderId="12" xfId="0" applyNumberFormat="1" applyFill="1" applyBorder="1" applyAlignment="1">
      <alignment vertical="center"/>
    </xf>
    <xf numFmtId="2" fontId="0" fillId="19" borderId="3" xfId="0" applyNumberFormat="1" applyFill="1" applyBorder="1" applyAlignment="1">
      <alignment horizontal="center" vertical="center"/>
    </xf>
    <xf numFmtId="2" fontId="0" fillId="19" borderId="4" xfId="0" applyNumberForma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72" fontId="0" fillId="0" borderId="0" xfId="0" applyNumberFormat="1"/>
    <xf numFmtId="1" fontId="2" fillId="0" borderId="0" xfId="0" applyNumberFormat="1" applyFont="1"/>
    <xf numFmtId="1" fontId="2" fillId="0" borderId="0" xfId="0" applyNumberFormat="1" applyFont="1" applyAlignment="1">
      <alignment vertical="center"/>
    </xf>
    <xf numFmtId="3" fontId="0" fillId="0" borderId="1" xfId="0" applyNumberFormat="1" applyBorder="1" applyAlignment="1">
      <alignment vertical="center"/>
    </xf>
    <xf numFmtId="0" fontId="18" fillId="0" borderId="0" xfId="0" applyFont="1"/>
    <xf numFmtId="0" fontId="18" fillId="6" borderId="0" xfId="0" applyFont="1" applyFill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3" fontId="18" fillId="0" borderId="0" xfId="1" applyFont="1" applyAlignment="1">
      <alignment horizontal="left"/>
    </xf>
    <xf numFmtId="0" fontId="0" fillId="15" borderId="0" xfId="0" applyFill="1" applyAlignment="1">
      <alignment wrapText="1"/>
    </xf>
    <xf numFmtId="2" fontId="0" fillId="0" borderId="0" xfId="1" applyNumberFormat="1" applyFont="1" applyBorder="1"/>
    <xf numFmtId="0" fontId="2" fillId="0" borderId="0" xfId="0" applyFont="1" applyAlignment="1">
      <alignment horizontal="left"/>
    </xf>
    <xf numFmtId="0" fontId="25" fillId="20" borderId="0" xfId="0" applyFont="1" applyFill="1" applyAlignment="1">
      <alignment horizontal="justify" vertical="center" wrapText="1"/>
    </xf>
    <xf numFmtId="0" fontId="26" fillId="20" borderId="30" xfId="0" applyFont="1" applyFill="1" applyBorder="1" applyAlignment="1">
      <alignment horizontal="justify" vertical="center" wrapText="1"/>
    </xf>
    <xf numFmtId="0" fontId="25" fillId="20" borderId="30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justify" vertical="center" wrapText="1"/>
    </xf>
    <xf numFmtId="0" fontId="26" fillId="20" borderId="31" xfId="0" applyFont="1" applyFill="1" applyBorder="1" applyAlignment="1">
      <alignment horizontal="justify" vertical="center" wrapText="1"/>
    </xf>
    <xf numFmtId="0" fontId="26" fillId="20" borderId="32" xfId="0" applyFont="1" applyFill="1" applyBorder="1" applyAlignment="1">
      <alignment horizontal="justify" vertical="center" wrapText="1"/>
    </xf>
    <xf numFmtId="0" fontId="26" fillId="20" borderId="32" xfId="0" applyFont="1" applyFill="1" applyBorder="1" applyAlignment="1">
      <alignment horizontal="center" vertical="center" wrapText="1"/>
    </xf>
    <xf numFmtId="0" fontId="25" fillId="21" borderId="35" xfId="0" applyFont="1" applyFill="1" applyBorder="1" applyAlignment="1">
      <alignment horizontal="center" vertical="center" wrapText="1"/>
    </xf>
    <xf numFmtId="0" fontId="25" fillId="21" borderId="32" xfId="0" applyFont="1" applyFill="1" applyBorder="1" applyAlignment="1">
      <alignment horizontal="center" vertical="center" wrapText="1"/>
    </xf>
    <xf numFmtId="0" fontId="26" fillId="20" borderId="32" xfId="0" applyFont="1" applyFill="1" applyBorder="1" applyAlignment="1">
      <alignment horizontal="left" vertical="center" wrapText="1"/>
    </xf>
    <xf numFmtId="0" fontId="25" fillId="20" borderId="32" xfId="0" applyFont="1" applyFill="1" applyBorder="1" applyAlignment="1">
      <alignment horizontal="center" vertical="center" wrapText="1"/>
    </xf>
    <xf numFmtId="0" fontId="25" fillId="20" borderId="0" xfId="0" applyFont="1" applyFill="1" applyAlignment="1">
      <alignment horizontal="center" vertical="center" wrapText="1"/>
    </xf>
    <xf numFmtId="0" fontId="28" fillId="20" borderId="0" xfId="0" applyFont="1" applyFill="1" applyAlignment="1">
      <alignment horizontal="justify" vertical="center" wrapText="1"/>
    </xf>
    <xf numFmtId="0" fontId="24" fillId="20" borderId="0" xfId="0" applyFont="1" applyFill="1" applyAlignment="1">
      <alignment horizontal="center" vertical="center" wrapText="1"/>
    </xf>
    <xf numFmtId="0" fontId="29" fillId="20" borderId="0" xfId="0" applyFont="1" applyFill="1" applyAlignment="1">
      <alignment horizontal="justify" vertical="center" wrapText="1"/>
    </xf>
    <xf numFmtId="0" fontId="28" fillId="21" borderId="35" xfId="0" applyFont="1" applyFill="1" applyBorder="1" applyAlignment="1">
      <alignment horizontal="center" vertical="center" wrapText="1"/>
    </xf>
    <xf numFmtId="0" fontId="28" fillId="21" borderId="32" xfId="0" applyFont="1" applyFill="1" applyBorder="1" applyAlignment="1">
      <alignment horizontal="center" vertical="center" wrapText="1"/>
    </xf>
    <xf numFmtId="0" fontId="29" fillId="20" borderId="32" xfId="0" applyFont="1" applyFill="1" applyBorder="1" applyAlignment="1">
      <alignment horizontal="center" vertical="center" wrapText="1"/>
    </xf>
    <xf numFmtId="0" fontId="29" fillId="20" borderId="32" xfId="0" applyFont="1" applyFill="1" applyBorder="1" applyAlignment="1">
      <alignment horizontal="justify" vertical="center" wrapText="1"/>
    </xf>
    <xf numFmtId="0" fontId="28" fillId="20" borderId="32" xfId="0" applyFont="1" applyFill="1" applyBorder="1" applyAlignment="1">
      <alignment horizontal="center" vertical="center" wrapText="1"/>
    </xf>
    <xf numFmtId="0" fontId="28" fillId="20" borderId="0" xfId="0" applyFont="1" applyFill="1" applyAlignment="1">
      <alignment horizontal="center" vertical="center" wrapText="1"/>
    </xf>
    <xf numFmtId="166" fontId="0" fillId="2" borderId="6" xfId="0" applyNumberFormat="1" applyFill="1" applyBorder="1" applyAlignment="1">
      <alignment horizontal="right" vertical="center"/>
    </xf>
    <xf numFmtId="166" fontId="0" fillId="2" borderId="4" xfId="0" applyNumberFormat="1" applyFill="1" applyBorder="1" applyAlignment="1">
      <alignment horizontal="right" vertical="center"/>
    </xf>
    <xf numFmtId="166" fontId="0" fillId="2" borderId="6" xfId="0" applyNumberFormat="1" applyFill="1" applyBorder="1" applyAlignment="1">
      <alignment horizontal="center" vertical="center"/>
    </xf>
    <xf numFmtId="166" fontId="0" fillId="2" borderId="4" xfId="0" applyNumberForma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9" fontId="4" fillId="14" borderId="3" xfId="3" applyFont="1" applyFill="1" applyBorder="1" applyAlignment="1">
      <alignment horizontal="right" vertical="center"/>
    </xf>
    <xf numFmtId="9" fontId="4" fillId="14" borderId="0" xfId="3" applyFont="1" applyFill="1" applyBorder="1" applyAlignment="1">
      <alignment horizontal="right" vertical="center"/>
    </xf>
    <xf numFmtId="9" fontId="4" fillId="14" borderId="4" xfId="3" applyFont="1" applyFill="1" applyBorder="1" applyAlignment="1">
      <alignment horizontal="right" vertical="center"/>
    </xf>
    <xf numFmtId="9" fontId="4" fillId="15" borderId="3" xfId="3" applyFont="1" applyFill="1" applyBorder="1" applyAlignment="1">
      <alignment horizontal="right" vertical="center"/>
    </xf>
    <xf numFmtId="9" fontId="4" fillId="15" borderId="0" xfId="3" applyFont="1" applyFill="1" applyBorder="1" applyAlignment="1">
      <alignment horizontal="right" vertical="center"/>
    </xf>
    <xf numFmtId="9" fontId="4" fillId="15" borderId="4" xfId="3" applyFont="1" applyFill="1" applyBorder="1" applyAlignment="1">
      <alignment horizontal="right" vertical="center"/>
    </xf>
    <xf numFmtId="164" fontId="0" fillId="15" borderId="10" xfId="0" applyNumberFormat="1" applyFill="1" applyBorder="1" applyAlignment="1">
      <alignment horizontal="right" vertical="center"/>
    </xf>
    <xf numFmtId="164" fontId="0" fillId="15" borderId="15" xfId="0" applyNumberFormat="1" applyFill="1" applyBorder="1" applyAlignment="1">
      <alignment horizontal="right" vertical="center"/>
    </xf>
    <xf numFmtId="164" fontId="0" fillId="15" borderId="12" xfId="0" applyNumberFormat="1" applyFill="1" applyBorder="1" applyAlignment="1">
      <alignment horizontal="right" vertical="center"/>
    </xf>
    <xf numFmtId="164" fontId="0" fillId="16" borderId="10" xfId="0" applyNumberFormat="1" applyFill="1" applyBorder="1" applyAlignment="1">
      <alignment horizontal="right" vertical="center"/>
    </xf>
    <xf numFmtId="164" fontId="0" fillId="16" borderId="15" xfId="0" applyNumberFormat="1" applyFill="1" applyBorder="1" applyAlignment="1">
      <alignment horizontal="right" vertical="center"/>
    </xf>
    <xf numFmtId="164" fontId="0" fillId="16" borderId="22" xfId="0" applyNumberFormat="1" applyFill="1" applyBorder="1" applyAlignment="1">
      <alignment horizontal="right" vertical="center"/>
    </xf>
    <xf numFmtId="164" fontId="0" fillId="16" borderId="24" xfId="0" applyNumberFormat="1" applyFill="1" applyBorder="1" applyAlignment="1">
      <alignment horizontal="right" vertical="center"/>
    </xf>
    <xf numFmtId="164" fontId="0" fillId="16" borderId="12" xfId="0" applyNumberFormat="1" applyFill="1" applyBorder="1" applyAlignment="1">
      <alignment horizontal="right" vertical="center"/>
    </xf>
    <xf numFmtId="164" fontId="0" fillId="17" borderId="10" xfId="0" applyNumberFormat="1" applyFill="1" applyBorder="1" applyAlignment="1">
      <alignment horizontal="right" vertical="center"/>
    </xf>
    <xf numFmtId="164" fontId="0" fillId="17" borderId="15" xfId="0" applyNumberFormat="1" applyFill="1" applyBorder="1" applyAlignment="1">
      <alignment horizontal="right" vertical="center"/>
    </xf>
    <xf numFmtId="164" fontId="0" fillId="17" borderId="12" xfId="0" applyNumberFormat="1" applyFill="1" applyBorder="1" applyAlignment="1">
      <alignment horizontal="right" vertical="center"/>
    </xf>
    <xf numFmtId="44" fontId="0" fillId="14" borderId="3" xfId="2" applyFont="1" applyFill="1" applyBorder="1" applyAlignment="1">
      <alignment horizontal="center" vertical="center"/>
    </xf>
    <xf numFmtId="44" fontId="0" fillId="14" borderId="0" xfId="2" applyFont="1" applyFill="1" applyBorder="1" applyAlignment="1">
      <alignment horizontal="center" vertical="center"/>
    </xf>
    <xf numFmtId="44" fontId="0" fillId="14" borderId="4" xfId="2" applyFont="1" applyFill="1" applyBorder="1" applyAlignment="1">
      <alignment horizontal="center" vertical="center"/>
    </xf>
    <xf numFmtId="44" fontId="0" fillId="15" borderId="3" xfId="2" applyFont="1" applyFill="1" applyBorder="1" applyAlignment="1">
      <alignment horizontal="center" vertical="center"/>
    </xf>
    <xf numFmtId="44" fontId="0" fillId="15" borderId="0" xfId="2" applyFont="1" applyFill="1" applyBorder="1" applyAlignment="1">
      <alignment horizontal="center" vertical="center"/>
    </xf>
    <xf numFmtId="44" fontId="0" fillId="15" borderId="4" xfId="2" applyFont="1" applyFill="1" applyBorder="1" applyAlignment="1">
      <alignment horizontal="center" vertical="center"/>
    </xf>
    <xf numFmtId="44" fontId="0" fillId="16" borderId="3" xfId="2" applyFont="1" applyFill="1" applyBorder="1" applyAlignment="1">
      <alignment horizontal="center" vertical="center"/>
    </xf>
    <xf numFmtId="44" fontId="0" fillId="16" borderId="0" xfId="2" applyFont="1" applyFill="1" applyBorder="1" applyAlignment="1">
      <alignment horizontal="center" vertical="center"/>
    </xf>
    <xf numFmtId="44" fontId="0" fillId="16" borderId="21" xfId="2" applyFont="1" applyFill="1" applyBorder="1" applyAlignment="1">
      <alignment horizontal="center" vertical="center"/>
    </xf>
    <xf numFmtId="44" fontId="0" fillId="16" borderId="23" xfId="2" applyFont="1" applyFill="1" applyBorder="1" applyAlignment="1">
      <alignment horizontal="center" vertical="center"/>
    </xf>
    <xf numFmtId="44" fontId="0" fillId="16" borderId="4" xfId="2" applyFont="1" applyFill="1" applyBorder="1" applyAlignment="1">
      <alignment horizontal="center" vertical="center"/>
    </xf>
    <xf numFmtId="44" fontId="0" fillId="17" borderId="3" xfId="2" applyFont="1" applyFill="1" applyBorder="1" applyAlignment="1">
      <alignment horizontal="center" vertical="center"/>
    </xf>
    <xf numFmtId="44" fontId="0" fillId="17" borderId="0" xfId="2" applyFont="1" applyFill="1" applyBorder="1" applyAlignment="1">
      <alignment horizontal="center" vertical="center"/>
    </xf>
    <xf numFmtId="44" fontId="0" fillId="17" borderId="4" xfId="2" applyFont="1" applyFill="1" applyBorder="1" applyAlignment="1">
      <alignment horizontal="center" vertical="center"/>
    </xf>
    <xf numFmtId="2" fontId="0" fillId="14" borderId="3" xfId="0" applyNumberFormat="1" applyFill="1" applyBorder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2" fontId="0" fillId="14" borderId="4" xfId="0" applyNumberFormat="1" applyFill="1" applyBorder="1" applyAlignment="1">
      <alignment horizontal="center" vertical="center"/>
    </xf>
    <xf numFmtId="2" fontId="0" fillId="15" borderId="3" xfId="0" applyNumberFormat="1" applyFill="1" applyBorder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2" fontId="0" fillId="15" borderId="4" xfId="0" applyNumberFormat="1" applyFill="1" applyBorder="1" applyAlignment="1">
      <alignment horizontal="center" vertical="center"/>
    </xf>
    <xf numFmtId="164" fontId="0" fillId="14" borderId="10" xfId="0" applyNumberFormat="1" applyFill="1" applyBorder="1" applyAlignment="1">
      <alignment horizontal="right" vertical="center"/>
    </xf>
    <xf numFmtId="164" fontId="0" fillId="14" borderId="15" xfId="0" applyNumberFormat="1" applyFill="1" applyBorder="1" applyAlignment="1">
      <alignment horizontal="right" vertical="center"/>
    </xf>
    <xf numFmtId="164" fontId="0" fillId="14" borderId="12" xfId="0" applyNumberFormat="1" applyFill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9" fontId="4" fillId="16" borderId="3" xfId="3" applyFont="1" applyFill="1" applyBorder="1" applyAlignment="1">
      <alignment horizontal="right" vertical="center"/>
    </xf>
    <xf numFmtId="9" fontId="4" fillId="16" borderId="0" xfId="3" applyFont="1" applyFill="1" applyBorder="1" applyAlignment="1">
      <alignment horizontal="right" vertical="center"/>
    </xf>
    <xf numFmtId="9" fontId="4" fillId="16" borderId="21" xfId="3" applyFont="1" applyFill="1" applyBorder="1" applyAlignment="1">
      <alignment horizontal="right" vertical="center"/>
    </xf>
    <xf numFmtId="9" fontId="4" fillId="16" borderId="23" xfId="3" applyFont="1" applyFill="1" applyBorder="1" applyAlignment="1">
      <alignment horizontal="right" vertical="center"/>
    </xf>
    <xf numFmtId="9" fontId="4" fillId="16" borderId="4" xfId="3" applyFont="1" applyFill="1" applyBorder="1" applyAlignment="1">
      <alignment horizontal="right" vertical="center"/>
    </xf>
    <xf numFmtId="9" fontId="4" fillId="17" borderId="3" xfId="3" applyFont="1" applyFill="1" applyBorder="1" applyAlignment="1">
      <alignment horizontal="right" vertical="center"/>
    </xf>
    <xf numFmtId="9" fontId="4" fillId="17" borderId="0" xfId="3" applyFont="1" applyFill="1" applyBorder="1" applyAlignment="1">
      <alignment horizontal="right" vertical="center"/>
    </xf>
    <xf numFmtId="9" fontId="4" fillId="17" borderId="4" xfId="3" applyFont="1" applyFill="1" applyBorder="1" applyAlignment="1">
      <alignment horizontal="right" vertical="center"/>
    </xf>
    <xf numFmtId="9" fontId="4" fillId="0" borderId="3" xfId="3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44" fontId="0" fillId="0" borderId="3" xfId="2" applyFont="1" applyBorder="1" applyAlignment="1">
      <alignment horizontal="center" vertical="center"/>
    </xf>
    <xf numFmtId="44" fontId="0" fillId="0" borderId="4" xfId="2" applyFont="1" applyBorder="1" applyAlignment="1">
      <alignment horizontal="center" vertical="center"/>
    </xf>
    <xf numFmtId="166" fontId="0" fillId="0" borderId="3" xfId="0" applyNumberFormat="1" applyBorder="1" applyAlignment="1">
      <alignment horizontal="right" vertical="center"/>
    </xf>
    <xf numFmtId="166" fontId="0" fillId="0" borderId="4" xfId="0" applyNumberFormat="1" applyBorder="1" applyAlignment="1">
      <alignment horizontal="right" vertical="center"/>
    </xf>
    <xf numFmtId="166" fontId="0" fillId="19" borderId="3" xfId="0" applyNumberFormat="1" applyFill="1" applyBorder="1" applyAlignment="1">
      <alignment horizontal="right" vertical="center"/>
    </xf>
    <xf numFmtId="166" fontId="0" fillId="19" borderId="4" xfId="0" applyNumberFormat="1" applyFill="1" applyBorder="1" applyAlignment="1">
      <alignment horizontal="right" vertical="center"/>
    </xf>
    <xf numFmtId="2" fontId="0" fillId="16" borderId="3" xfId="1" applyNumberFormat="1" applyFont="1" applyFill="1" applyBorder="1" applyAlignment="1">
      <alignment horizontal="center" vertical="center"/>
    </xf>
    <xf numFmtId="2" fontId="0" fillId="16" borderId="0" xfId="1" applyNumberFormat="1" applyFont="1" applyFill="1" applyBorder="1" applyAlignment="1">
      <alignment horizontal="center" vertical="center"/>
    </xf>
    <xf numFmtId="2" fontId="0" fillId="16" borderId="21" xfId="1" applyNumberFormat="1" applyFont="1" applyFill="1" applyBorder="1" applyAlignment="1">
      <alignment horizontal="center" vertical="center"/>
    </xf>
    <xf numFmtId="2" fontId="0" fillId="16" borderId="23" xfId="0" applyNumberFormat="1" applyFill="1" applyBorder="1" applyAlignment="1">
      <alignment horizontal="center" vertical="center"/>
    </xf>
    <xf numFmtId="2" fontId="0" fillId="16" borderId="0" xfId="0" applyNumberFormat="1" applyFill="1" applyAlignment="1">
      <alignment horizontal="center" vertical="center"/>
    </xf>
    <xf numFmtId="2" fontId="0" fillId="16" borderId="4" xfId="0" applyNumberFormat="1" applyFill="1" applyBorder="1" applyAlignment="1">
      <alignment horizontal="center" vertical="center"/>
    </xf>
    <xf numFmtId="2" fontId="0" fillId="17" borderId="3" xfId="0" applyNumberFormat="1" applyFill="1" applyBorder="1" applyAlignment="1">
      <alignment horizontal="center" vertical="center"/>
    </xf>
    <xf numFmtId="2" fontId="0" fillId="17" borderId="0" xfId="0" applyNumberFormat="1" applyFill="1" applyAlignment="1">
      <alignment horizontal="center" vertical="center"/>
    </xf>
    <xf numFmtId="2" fontId="0" fillId="17" borderId="4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8" fillId="21" borderId="33" xfId="0" applyFont="1" applyFill="1" applyBorder="1" applyAlignment="1">
      <alignment horizontal="center" vertical="center" wrapText="1"/>
    </xf>
    <xf numFmtId="0" fontId="28" fillId="21" borderId="34" xfId="0" applyFont="1" applyFill="1" applyBorder="1" applyAlignment="1">
      <alignment horizontal="center" vertical="center" wrapText="1"/>
    </xf>
    <xf numFmtId="0" fontId="28" fillId="21" borderId="39" xfId="0" applyFont="1" applyFill="1" applyBorder="1" applyAlignment="1">
      <alignment horizontal="center" vertical="center" wrapText="1"/>
    </xf>
    <xf numFmtId="0" fontId="28" fillId="21" borderId="36" xfId="0" applyFont="1" applyFill="1" applyBorder="1" applyAlignment="1">
      <alignment horizontal="center" vertical="center" wrapText="1"/>
    </xf>
    <xf numFmtId="0" fontId="28" fillId="21" borderId="40" xfId="0" applyFont="1" applyFill="1" applyBorder="1" applyAlignment="1">
      <alignment horizontal="center" vertical="center" wrapText="1"/>
    </xf>
    <xf numFmtId="0" fontId="28" fillId="21" borderId="32" xfId="0" applyFont="1" applyFill="1" applyBorder="1" applyAlignment="1">
      <alignment horizontal="center" vertical="center" wrapText="1"/>
    </xf>
    <xf numFmtId="0" fontId="29" fillId="20" borderId="33" xfId="0" applyFont="1" applyFill="1" applyBorder="1" applyAlignment="1">
      <alignment horizontal="center" vertical="center" wrapText="1"/>
    </xf>
    <xf numFmtId="0" fontId="29" fillId="20" borderId="38" xfId="0" applyFont="1" applyFill="1" applyBorder="1" applyAlignment="1">
      <alignment horizontal="center" vertical="center" wrapText="1"/>
    </xf>
    <xf numFmtId="0" fontId="29" fillId="20" borderId="34" xfId="0" applyFont="1" applyFill="1" applyBorder="1" applyAlignment="1">
      <alignment horizontal="center" vertical="center" wrapText="1"/>
    </xf>
    <xf numFmtId="0" fontId="26" fillId="20" borderId="37" xfId="0" applyFont="1" applyFill="1" applyBorder="1" applyAlignment="1">
      <alignment horizontal="right" vertical="center" wrapText="1"/>
    </xf>
    <xf numFmtId="0" fontId="25" fillId="21" borderId="33" xfId="0" applyFont="1" applyFill="1" applyBorder="1" applyAlignment="1">
      <alignment horizontal="center" vertical="center" wrapText="1"/>
    </xf>
    <xf numFmtId="0" fontId="25" fillId="21" borderId="34" xfId="0" applyFont="1" applyFill="1" applyBorder="1" applyAlignment="1">
      <alignment horizontal="center" vertical="center" wrapText="1"/>
    </xf>
    <xf numFmtId="0" fontId="25" fillId="21" borderId="39" xfId="0" applyFont="1" applyFill="1" applyBorder="1" applyAlignment="1">
      <alignment horizontal="center" vertical="center" wrapText="1"/>
    </xf>
    <xf numFmtId="0" fontId="25" fillId="21" borderId="36" xfId="0" applyFont="1" applyFill="1" applyBorder="1" applyAlignment="1">
      <alignment horizontal="center" vertical="center" wrapText="1"/>
    </xf>
    <xf numFmtId="0" fontId="25" fillId="21" borderId="40" xfId="0" applyFont="1" applyFill="1" applyBorder="1" applyAlignment="1">
      <alignment horizontal="center" vertical="center" wrapText="1"/>
    </xf>
    <xf numFmtId="0" fontId="25" fillId="21" borderId="32" xfId="0" applyFont="1" applyFill="1" applyBorder="1" applyAlignment="1">
      <alignment horizontal="center" vertical="center" wrapText="1"/>
    </xf>
    <xf numFmtId="0" fontId="26" fillId="20" borderId="33" xfId="0" applyFont="1" applyFill="1" applyBorder="1" applyAlignment="1">
      <alignment horizontal="center" vertical="center" wrapText="1"/>
    </xf>
    <xf numFmtId="0" fontId="26" fillId="20" borderId="38" xfId="0" applyFont="1" applyFill="1" applyBorder="1" applyAlignment="1">
      <alignment horizontal="center" vertical="center" wrapText="1"/>
    </xf>
    <xf numFmtId="0" fontId="26" fillId="20" borderId="34" xfId="0" applyFont="1" applyFill="1" applyBorder="1" applyAlignment="1">
      <alignment horizontal="center" vertical="center" wrapText="1"/>
    </xf>
    <xf numFmtId="1" fontId="1" fillId="0" borderId="0" xfId="0" applyNumberFormat="1" applyFont="1"/>
    <xf numFmtId="164" fontId="13" fillId="13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6" fillId="20" borderId="37" xfId="0" applyFont="1" applyFill="1" applyBorder="1" applyAlignment="1">
      <alignment horizontal="justify" vertical="center"/>
    </xf>
  </cellXfs>
  <cellStyles count="4">
    <cellStyle name="Čiarka" xfId="1" builtinId="3"/>
    <cellStyle name="Mena" xfId="2" builtinId="4"/>
    <cellStyle name="Normálne" xfId="0" builtinId="0"/>
    <cellStyle name="Percentá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172642</xdr:colOff>
      <xdr:row>1</xdr:row>
      <xdr:rowOff>19526</xdr:rowOff>
    </xdr:from>
    <xdr:to>
      <xdr:col>1</xdr:col>
      <xdr:colOff>1807607</xdr:colOff>
      <xdr:row>3</xdr:row>
      <xdr:rowOff>171530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D495FE50-1779-14F7-EFB0-AD3DEB35A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671" y="218122"/>
          <a:ext cx="1627345" cy="580629"/>
        </a:xfrm>
        <a:prstGeom prst="rect">
          <a:avLst/>
        </a:prstGeom>
      </xdr:spPr>
    </xdr:pic>
    <xdr:clientData/>
  </xdr:twoCellAnchor>
  <xdr:twoCellAnchor editAs="absolute">
    <xdr:from>
      <xdr:col>1</xdr:col>
      <xdr:colOff>20002</xdr:colOff>
      <xdr:row>7</xdr:row>
      <xdr:rowOff>22145</xdr:rowOff>
    </xdr:from>
    <xdr:to>
      <xdr:col>1</xdr:col>
      <xdr:colOff>1467927</xdr:colOff>
      <xdr:row>10</xdr:row>
      <xdr:rowOff>26484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xmlns="" id="{2D6A5F49-EF3F-8513-D6E7-7FAA6AE4E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031" y="1494234"/>
          <a:ext cx="1447925" cy="609653"/>
        </a:xfrm>
        <a:prstGeom prst="rect">
          <a:avLst/>
        </a:prstGeom>
      </xdr:spPr>
    </xdr:pic>
    <xdr:clientData/>
  </xdr:twoCellAnchor>
  <xdr:twoCellAnchor editAs="absolute">
    <xdr:from>
      <xdr:col>1</xdr:col>
      <xdr:colOff>212645</xdr:colOff>
      <xdr:row>23</xdr:row>
      <xdr:rowOff>77391</xdr:rowOff>
    </xdr:from>
    <xdr:to>
      <xdr:col>1</xdr:col>
      <xdr:colOff>1368066</xdr:colOff>
      <xdr:row>24</xdr:row>
      <xdr:rowOff>208122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xmlns="" id="{54760BA3-8A31-1C31-E743-4C4E84409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7484" y="4589860"/>
          <a:ext cx="1147801" cy="382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577564</xdr:colOff>
      <xdr:row>101</xdr:row>
      <xdr:rowOff>136842</xdr:rowOff>
    </xdr:from>
    <xdr:ext cx="2028476" cy="4610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BlokTextu 1">
              <a:extLst>
                <a:ext uri="{FF2B5EF4-FFF2-40B4-BE49-F238E27FC236}">
                  <a16:creationId xmlns:a16="http://schemas.microsoft.com/office/drawing/2014/main" xmlns="" id="{00000000-0008-0000-0200-000002000000}"/>
                </a:ext>
              </a:extLst>
            </xdr:cNvPr>
            <xdr:cNvSpPr txBox="1"/>
          </xdr:nvSpPr>
          <xdr:spPr>
            <a:xfrm>
              <a:off x="1187164" y="19539267"/>
              <a:ext cx="2028476" cy="4610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k-SK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k-SK" sz="16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sk-SK" sz="1600" b="0" i="1">
                            <a:latin typeface="Cambria Math" panose="02040503050406030204" pitchFamily="18" charset="0"/>
                          </a:rPr>
                          <m:t>𝑆𝑍</m:t>
                        </m:r>
                      </m:sub>
                    </m:sSub>
                    <m:r>
                      <a:rPr lang="sk-SK" sz="16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sk-SK" sz="16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sk-SK" sz="16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k-SK" sz="1600" b="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</m:e>
                          <m:sub>
                            <m:r>
                              <a:rPr lang="sk-SK" sz="16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  <m:r>
                          <a:rPr lang="sk-SK" sz="16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sk-SK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k-SK" sz="1600" b="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</m:e>
                          <m:sub>
                            <m:r>
                              <a:rPr lang="sk-SK" sz="16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  <m:r>
                              <a:rPr lang="sk-SK" sz="16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sk-SK" sz="16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b>
                        </m:sSub>
                        <m:r>
                          <a:rPr lang="sk-SK" sz="1600" b="0" i="1">
                            <a:latin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r>
                          <a:rPr lang="sk-SK" sz="16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sk-SK" sz="1600"/>
            </a:p>
          </xdr:txBody>
        </xdr:sp>
      </mc:Choice>
      <mc:Fallback xmlns="">
        <xdr:sp macro="" textlink="">
          <xdr:nvSpPr>
            <xdr:cNvPr id="2" name="BlokTextu 1"/>
            <xdr:cNvSpPr txBox="1"/>
          </xdr:nvSpPr>
          <xdr:spPr>
            <a:xfrm>
              <a:off x="1187164" y="19539267"/>
              <a:ext cx="2028476" cy="4610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sk-SK" sz="1600" b="0" i="0">
                  <a:latin typeface="Cambria Math" panose="02040503050406030204" pitchFamily="18" charset="0"/>
                </a:rPr>
                <a:t>𝐼_𝑆𝑍</a:t>
              </a:r>
              <a:r>
                <a:rPr lang="sk-SK" sz="1600" i="0">
                  <a:latin typeface="Cambria Math" panose="02040503050406030204" pitchFamily="18" charset="0"/>
                </a:rPr>
                <a:t>=(</a:t>
              </a:r>
              <a:r>
                <a:rPr lang="sk-SK" sz="1600" b="0" i="0">
                  <a:latin typeface="Cambria Math" panose="02040503050406030204" pitchFamily="18" charset="0"/>
                </a:rPr>
                <a:t>𝐼_𝑡−𝐼_(𝑡−𝑛)  )/𝑛</a:t>
              </a:r>
              <a:endParaRPr lang="sk-SK" sz="1600"/>
            </a:p>
          </xdr:txBody>
        </xdr:sp>
      </mc:Fallback>
    </mc:AlternateContent>
    <xdr:clientData/>
  </xdr:oneCellAnchor>
  <xdr:oneCellAnchor>
    <xdr:from>
      <xdr:col>1</xdr:col>
      <xdr:colOff>577564</xdr:colOff>
      <xdr:row>123</xdr:row>
      <xdr:rowOff>136842</xdr:rowOff>
    </xdr:from>
    <xdr:ext cx="2028476" cy="4610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BlokTextu 2">
              <a:extLst>
                <a:ext uri="{FF2B5EF4-FFF2-40B4-BE49-F238E27FC236}">
                  <a16:creationId xmlns:a16="http://schemas.microsoft.com/office/drawing/2014/main" xmlns="" id="{00000000-0008-0000-0200-000003000000}"/>
                </a:ext>
              </a:extLst>
            </xdr:cNvPr>
            <xdr:cNvSpPr txBox="1"/>
          </xdr:nvSpPr>
          <xdr:spPr>
            <a:xfrm>
              <a:off x="1187164" y="23920767"/>
              <a:ext cx="2028476" cy="4610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k-SK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sk-SK" sz="16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sk-SK" sz="1600" b="0" i="1">
                            <a:latin typeface="Cambria Math" panose="02040503050406030204" pitchFamily="18" charset="0"/>
                          </a:rPr>
                          <m:t>𝑆𝑍</m:t>
                        </m:r>
                      </m:sub>
                    </m:sSub>
                    <m:r>
                      <a:rPr lang="sk-SK" sz="16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sk-SK" sz="16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sk-SK" sz="16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k-SK" sz="1600" b="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</m:e>
                          <m:sub>
                            <m:r>
                              <a:rPr lang="sk-SK" sz="16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  <m:r>
                          <a:rPr lang="sk-SK" sz="16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sk-SK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sk-SK" sz="1600" b="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</m:e>
                          <m:sub>
                            <m:r>
                              <a:rPr lang="sk-SK" sz="16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  <m:r>
                              <a:rPr lang="sk-SK" sz="16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sk-SK" sz="16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b>
                        </m:sSub>
                        <m:r>
                          <a:rPr lang="sk-SK" sz="1600" b="0" i="1">
                            <a:latin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r>
                          <a:rPr lang="sk-SK" sz="16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sk-SK" sz="1600"/>
            </a:p>
          </xdr:txBody>
        </xdr:sp>
      </mc:Choice>
      <mc:Fallback xmlns="">
        <xdr:sp macro="" textlink="">
          <xdr:nvSpPr>
            <xdr:cNvPr id="3" name="BlokTextu 2"/>
            <xdr:cNvSpPr txBox="1"/>
          </xdr:nvSpPr>
          <xdr:spPr>
            <a:xfrm>
              <a:off x="1187164" y="23920767"/>
              <a:ext cx="2028476" cy="4610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sk-SK" sz="1600" b="0" i="0">
                  <a:latin typeface="Cambria Math" panose="02040503050406030204" pitchFamily="18" charset="0"/>
                </a:rPr>
                <a:t>𝐼_𝑆𝑍</a:t>
              </a:r>
              <a:r>
                <a:rPr lang="sk-SK" sz="1600" i="0">
                  <a:latin typeface="Cambria Math" panose="02040503050406030204" pitchFamily="18" charset="0"/>
                </a:rPr>
                <a:t>=(</a:t>
              </a:r>
              <a:r>
                <a:rPr lang="sk-SK" sz="1600" b="0" i="0">
                  <a:latin typeface="Cambria Math" panose="02040503050406030204" pitchFamily="18" charset="0"/>
                </a:rPr>
                <a:t>𝐼_𝑡−𝐼_(𝑡−𝑛)  )/𝑛</a:t>
              </a:r>
              <a:endParaRPr lang="sk-SK" sz="16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160" zoomScaleNormal="160" workbookViewId="0"/>
  </sheetViews>
  <sheetFormatPr defaultRowHeight="14.4" x14ac:dyDescent="0.3"/>
  <cols>
    <col min="2" max="2" width="32.88671875" customWidth="1"/>
    <col min="3" max="3" width="12" bestFit="1" customWidth="1"/>
  </cols>
  <sheetData>
    <row r="1" spans="1:15" ht="15.6" x14ac:dyDescent="0.3">
      <c r="A1" s="44" t="s">
        <v>130</v>
      </c>
    </row>
    <row r="2" spans="1:15" ht="15.6" x14ac:dyDescent="0.3">
      <c r="A2" s="6">
        <v>1</v>
      </c>
      <c r="B2" s="16" t="s">
        <v>1</v>
      </c>
      <c r="C2" s="449">
        <v>1077258</v>
      </c>
      <c r="D2" s="46" t="s">
        <v>0</v>
      </c>
      <c r="E2" s="448" t="s">
        <v>193</v>
      </c>
      <c r="F2" s="33"/>
      <c r="G2" s="2"/>
      <c r="J2" s="2"/>
      <c r="K2" s="2"/>
      <c r="L2" s="3"/>
      <c r="M2" s="3"/>
      <c r="N2" s="3"/>
      <c r="O2" s="3"/>
    </row>
    <row r="3" spans="1:15" ht="18" x14ac:dyDescent="0.3">
      <c r="A3" s="6"/>
      <c r="B3" s="16" t="s">
        <v>197</v>
      </c>
      <c r="C3" s="449">
        <v>16927</v>
      </c>
      <c r="D3" s="46" t="s">
        <v>196</v>
      </c>
      <c r="E3" s="448" t="s">
        <v>194</v>
      </c>
      <c r="F3" s="33"/>
      <c r="J3" s="2"/>
      <c r="K3" s="2"/>
      <c r="L3" s="3"/>
      <c r="M3" s="3"/>
      <c r="N3" s="3"/>
      <c r="O3" s="3"/>
    </row>
    <row r="4" spans="1:15" ht="15.6" x14ac:dyDescent="0.3">
      <c r="A4" s="6"/>
      <c r="B4" s="45" t="s">
        <v>198</v>
      </c>
      <c r="C4" s="449">
        <f>C2-(C3*45)</f>
        <v>315543</v>
      </c>
      <c r="D4" s="46" t="s">
        <v>0</v>
      </c>
      <c r="E4" s="448" t="s">
        <v>195</v>
      </c>
      <c r="F4" s="33"/>
      <c r="G4" s="2"/>
      <c r="J4" s="2"/>
      <c r="K4" s="2"/>
      <c r="L4" s="3"/>
      <c r="M4" s="3"/>
      <c r="N4" s="3"/>
      <c r="O4" s="3"/>
    </row>
    <row r="5" spans="1:15" x14ac:dyDescent="0.3">
      <c r="A5" s="6"/>
      <c r="E5" s="36"/>
      <c r="F5" s="33"/>
      <c r="G5" s="2"/>
      <c r="J5" s="2"/>
      <c r="K5" s="2"/>
      <c r="L5" s="3"/>
      <c r="M5" s="3"/>
      <c r="N5" s="3"/>
      <c r="O5" s="3"/>
    </row>
    <row r="6" spans="1:15" ht="18" x14ac:dyDescent="0.4">
      <c r="A6" s="44" t="s">
        <v>199</v>
      </c>
      <c r="E6" s="36"/>
      <c r="F6" s="33"/>
      <c r="G6" s="2"/>
      <c r="J6" s="2"/>
      <c r="K6" s="2"/>
      <c r="L6" s="3"/>
      <c r="M6" s="3"/>
      <c r="N6" s="3"/>
      <c r="O6" s="3"/>
    </row>
    <row r="7" spans="1:15" ht="18" x14ac:dyDescent="0.3">
      <c r="A7" s="44"/>
      <c r="B7" s="16" t="s">
        <v>201</v>
      </c>
      <c r="C7" s="17">
        <f>C4</f>
        <v>315543</v>
      </c>
      <c r="D7" s="9" t="s">
        <v>0</v>
      </c>
      <c r="E7" s="574" t="s">
        <v>267</v>
      </c>
      <c r="F7" s="33"/>
      <c r="G7" s="2"/>
      <c r="J7" s="2"/>
      <c r="K7" s="2"/>
      <c r="L7" s="3"/>
      <c r="M7" s="3"/>
      <c r="N7" s="3"/>
      <c r="O7" s="3"/>
    </row>
    <row r="8" spans="1:15" ht="15.6" x14ac:dyDescent="0.3">
      <c r="A8" s="44"/>
      <c r="B8" s="16" t="s">
        <v>1</v>
      </c>
      <c r="C8" s="17">
        <f>C2</f>
        <v>1077258</v>
      </c>
      <c r="D8" s="9" t="s">
        <v>0</v>
      </c>
      <c r="E8" s="448" t="s">
        <v>193</v>
      </c>
      <c r="F8" s="33"/>
      <c r="G8" s="2"/>
      <c r="J8" s="2"/>
      <c r="K8" s="2"/>
      <c r="L8" s="3"/>
      <c r="M8" s="3"/>
      <c r="N8" s="3"/>
      <c r="O8" s="3"/>
    </row>
    <row r="9" spans="1:15" ht="15.6" x14ac:dyDescent="0.35">
      <c r="A9" s="6">
        <v>2</v>
      </c>
      <c r="B9" s="10" t="s">
        <v>202</v>
      </c>
      <c r="C9" s="15">
        <f>C7/C8*100</f>
        <v>29.291311830592115</v>
      </c>
      <c r="D9" s="9" t="s">
        <v>3</v>
      </c>
      <c r="E9" s="447" t="s">
        <v>205</v>
      </c>
      <c r="F9" s="33"/>
      <c r="G9" s="2"/>
      <c r="J9" s="2"/>
      <c r="K9" s="2"/>
      <c r="L9" s="3"/>
      <c r="M9" s="3"/>
      <c r="N9" s="3"/>
      <c r="O9" s="3"/>
    </row>
    <row r="10" spans="1:15" ht="15.6" x14ac:dyDescent="0.35">
      <c r="A10" s="6"/>
      <c r="B10" s="10" t="s">
        <v>203</v>
      </c>
      <c r="C10" s="10" t="s">
        <v>105</v>
      </c>
      <c r="D10" s="9"/>
      <c r="F10" s="33"/>
      <c r="G10" s="2"/>
      <c r="J10" s="2"/>
      <c r="K10" s="2"/>
      <c r="L10" s="3"/>
      <c r="M10" s="3"/>
      <c r="N10" s="3"/>
      <c r="O10" s="3"/>
    </row>
    <row r="11" spans="1:15" ht="15.6" x14ac:dyDescent="0.35">
      <c r="A11" s="6"/>
      <c r="B11" s="10" t="s">
        <v>204</v>
      </c>
      <c r="C11" s="9">
        <v>20</v>
      </c>
      <c r="D11" s="9" t="s">
        <v>3</v>
      </c>
      <c r="E11" s="2" t="s">
        <v>206</v>
      </c>
      <c r="F11" s="33"/>
      <c r="G11" s="2"/>
      <c r="J11" s="2"/>
      <c r="K11" s="2"/>
      <c r="L11" s="3"/>
      <c r="M11" s="3"/>
      <c r="N11" s="3"/>
      <c r="O11" s="3"/>
    </row>
    <row r="12" spans="1:15" x14ac:dyDescent="0.3">
      <c r="A12" s="6"/>
      <c r="B12" s="1"/>
      <c r="E12" s="2"/>
      <c r="F12" s="33"/>
      <c r="G12" s="2"/>
      <c r="J12" s="2"/>
      <c r="K12" s="2"/>
      <c r="L12" s="3"/>
      <c r="M12" s="3"/>
      <c r="N12" s="3"/>
      <c r="O12" s="3"/>
    </row>
    <row r="13" spans="1:15" x14ac:dyDescent="0.3">
      <c r="A13" s="6"/>
      <c r="B13" t="s">
        <v>265</v>
      </c>
      <c r="E13" s="2"/>
      <c r="F13" s="33"/>
      <c r="G13" s="2"/>
      <c r="J13" s="2"/>
      <c r="K13" s="2"/>
      <c r="L13" s="3"/>
      <c r="M13" s="3"/>
      <c r="N13" s="3"/>
      <c r="O13" s="3"/>
    </row>
    <row r="14" spans="1:15" x14ac:dyDescent="0.3">
      <c r="A14" s="6"/>
      <c r="B14" t="s">
        <v>266</v>
      </c>
      <c r="E14" s="2"/>
      <c r="F14" s="33"/>
      <c r="G14" s="2"/>
      <c r="J14" s="2"/>
      <c r="K14" s="2"/>
      <c r="L14" s="3"/>
      <c r="M14" s="3"/>
      <c r="N14" s="3"/>
      <c r="O14" s="3"/>
    </row>
    <row r="15" spans="1:15" x14ac:dyDescent="0.3">
      <c r="A15" s="6"/>
      <c r="B15" s="1"/>
      <c r="E15" s="2"/>
      <c r="F15" s="33"/>
      <c r="G15" s="2"/>
      <c r="J15" s="2"/>
      <c r="K15" s="2"/>
      <c r="L15" s="3"/>
      <c r="M15" s="3"/>
      <c r="N15" s="3"/>
      <c r="O15" s="3"/>
    </row>
    <row r="16" spans="1:15" x14ac:dyDescent="0.3">
      <c r="A16" s="6"/>
      <c r="B16" s="1"/>
      <c r="E16" s="2"/>
      <c r="F16" s="33"/>
      <c r="G16" s="2"/>
      <c r="J16" s="2"/>
      <c r="K16" s="2"/>
      <c r="L16" s="3"/>
      <c r="M16" s="3"/>
      <c r="N16" s="3"/>
      <c r="O16" s="3"/>
    </row>
    <row r="17" spans="1:15" ht="15.6" x14ac:dyDescent="0.35">
      <c r="A17" s="6"/>
      <c r="B17" s="1" t="s">
        <v>264</v>
      </c>
      <c r="E17" s="2"/>
      <c r="F17" s="33"/>
      <c r="G17" s="2"/>
      <c r="J17" s="2"/>
      <c r="K17" s="2"/>
      <c r="L17" s="3"/>
      <c r="M17" s="3"/>
      <c r="N17" s="3"/>
      <c r="O17" s="3"/>
    </row>
    <row r="18" spans="1:15" x14ac:dyDescent="0.3">
      <c r="A18" s="6" t="s">
        <v>128</v>
      </c>
      <c r="B18" s="45" t="s">
        <v>2</v>
      </c>
      <c r="C18" s="46">
        <f>16.258</f>
        <v>16.257999999999999</v>
      </c>
      <c r="D18" s="46" t="s">
        <v>3</v>
      </c>
      <c r="E18" s="2"/>
      <c r="F18" s="33"/>
      <c r="G18" s="2"/>
      <c r="J18" s="2"/>
      <c r="K18" s="2"/>
      <c r="L18" s="3"/>
      <c r="M18" s="3"/>
      <c r="N18" s="3"/>
      <c r="O18" s="3"/>
    </row>
    <row r="19" spans="1:15" x14ac:dyDescent="0.3">
      <c r="A19" s="6"/>
      <c r="B19" s="45" t="s">
        <v>103</v>
      </c>
      <c r="C19" s="45" t="s">
        <v>107</v>
      </c>
      <c r="D19" s="46"/>
      <c r="F19" s="33"/>
      <c r="G19" s="2"/>
      <c r="J19" s="2"/>
      <c r="K19" s="2"/>
      <c r="L19" s="3"/>
      <c r="M19" s="3"/>
      <c r="N19" s="3"/>
      <c r="O19" s="3"/>
    </row>
    <row r="20" spans="1:15" ht="15.6" x14ac:dyDescent="0.3">
      <c r="A20" s="6"/>
      <c r="B20" s="45" t="s">
        <v>104</v>
      </c>
      <c r="C20" s="46">
        <f>ROUND(C18,0)</f>
        <v>16</v>
      </c>
      <c r="D20" s="46" t="s">
        <v>3</v>
      </c>
      <c r="E20" s="43" t="s">
        <v>207</v>
      </c>
      <c r="F20" s="33"/>
      <c r="G20" s="2"/>
      <c r="J20" s="2"/>
      <c r="K20" s="2"/>
      <c r="L20" s="3"/>
      <c r="M20" s="3"/>
      <c r="N20" s="3"/>
      <c r="O20" s="3"/>
    </row>
    <row r="23" spans="1:15" ht="18" x14ac:dyDescent="0.4">
      <c r="A23" s="44" t="s">
        <v>200</v>
      </c>
    </row>
    <row r="24" spans="1:15" ht="20.399999999999999" customHeight="1" x14ac:dyDescent="0.3">
      <c r="A24" s="6">
        <v>3</v>
      </c>
      <c r="B24" s="45" t="s">
        <v>2</v>
      </c>
      <c r="C24" s="46">
        <f>C20</f>
        <v>16</v>
      </c>
      <c r="D24" s="46" t="s">
        <v>3</v>
      </c>
    </row>
    <row r="25" spans="1:15" ht="20.399999999999999" customHeight="1" x14ac:dyDescent="0.3">
      <c r="B25" s="45" t="s">
        <v>131</v>
      </c>
      <c r="C25" s="46">
        <f>100-C24</f>
        <v>84</v>
      </c>
      <c r="D25" s="46" t="s">
        <v>3</v>
      </c>
    </row>
    <row r="26" spans="1:15" x14ac:dyDescent="0.3">
      <c r="B26" s="1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93"/>
  <sheetViews>
    <sheetView zoomScale="140" zoomScaleNormal="140" workbookViewId="0"/>
  </sheetViews>
  <sheetFormatPr defaultRowHeight="14.4" x14ac:dyDescent="0.3"/>
  <cols>
    <col min="1" max="1" width="19" style="6" customWidth="1"/>
    <col min="2" max="2" width="65.88671875" customWidth="1"/>
    <col min="3" max="3" width="23.5546875" style="2" customWidth="1"/>
    <col min="4" max="4" width="20.6640625" style="2" customWidth="1"/>
    <col min="5" max="5" width="18.6640625" style="33" bestFit="1" customWidth="1"/>
    <col min="6" max="6" width="16.5546875" style="2" bestFit="1" customWidth="1"/>
    <col min="7" max="7" width="10" bestFit="1" customWidth="1"/>
    <col min="8" max="8" width="11.109375" bestFit="1" customWidth="1"/>
    <col min="9" max="9" width="12.6640625" style="106" bestFit="1" customWidth="1"/>
    <col min="10" max="10" width="21.33203125" style="3" customWidth="1"/>
    <col min="11" max="11" width="11.5546875" style="3" bestFit="1" customWidth="1"/>
    <col min="12" max="12" width="14.5546875" style="74" bestFit="1" customWidth="1"/>
    <col min="13" max="13" width="12.88671875" style="106" bestFit="1" customWidth="1"/>
    <col min="14" max="14" width="11.88671875" style="3" bestFit="1" customWidth="1"/>
    <col min="15" max="15" width="11.88671875" style="416" customWidth="1"/>
    <col min="16" max="16" width="11.88671875" style="3" customWidth="1"/>
    <col min="17" max="17" width="14.88671875" style="1" bestFit="1" customWidth="1"/>
    <col min="18" max="18" width="2" customWidth="1"/>
    <col min="20" max="20" width="10.6640625" customWidth="1"/>
    <col min="21" max="21" width="9.88671875" bestFit="1" customWidth="1"/>
  </cols>
  <sheetData>
    <row r="1" spans="1:21" ht="45" customHeight="1" thickTop="1" thickBot="1" x14ac:dyDescent="0.35">
      <c r="A1" s="314" t="s">
        <v>127</v>
      </c>
      <c r="B1" s="90" t="s">
        <v>31</v>
      </c>
      <c r="C1" s="90" t="s">
        <v>4</v>
      </c>
      <c r="D1" s="90" t="s">
        <v>162</v>
      </c>
      <c r="E1" s="90" t="s">
        <v>6</v>
      </c>
      <c r="F1" s="90" t="s">
        <v>5</v>
      </c>
      <c r="G1" s="90" t="s">
        <v>210</v>
      </c>
      <c r="H1" s="90" t="s">
        <v>211</v>
      </c>
      <c r="I1" s="90" t="s">
        <v>212</v>
      </c>
      <c r="J1" s="91" t="s">
        <v>268</v>
      </c>
      <c r="K1" s="91" t="s">
        <v>213</v>
      </c>
      <c r="L1" s="91" t="s">
        <v>269</v>
      </c>
      <c r="M1" s="91" t="s">
        <v>272</v>
      </c>
      <c r="N1" s="91" t="s">
        <v>175</v>
      </c>
      <c r="O1" s="400" t="s">
        <v>187</v>
      </c>
      <c r="P1" s="385" t="s">
        <v>270</v>
      </c>
      <c r="Q1" s="575" t="s">
        <v>271</v>
      </c>
    </row>
    <row r="2" spans="1:21" ht="15" thickTop="1" x14ac:dyDescent="0.3">
      <c r="A2" s="315">
        <v>1</v>
      </c>
      <c r="B2" s="128" t="s">
        <v>235</v>
      </c>
      <c r="C2" s="88" t="s">
        <v>32</v>
      </c>
      <c r="D2" s="483">
        <v>1</v>
      </c>
      <c r="E2" s="88">
        <v>1</v>
      </c>
      <c r="F2" s="129" t="s">
        <v>7</v>
      </c>
      <c r="G2" s="130">
        <v>44927</v>
      </c>
      <c r="H2" s="130">
        <v>45000</v>
      </c>
      <c r="I2" s="199">
        <f>SUM(E136:E137)+(D138*15)</f>
        <v>0.21870967741935482</v>
      </c>
      <c r="J2" s="479">
        <v>53.469000000000001</v>
      </c>
      <c r="K2" s="481">
        <f>J2</f>
        <v>53.469000000000001</v>
      </c>
      <c r="L2" s="481">
        <f>J2</f>
        <v>53.469000000000001</v>
      </c>
      <c r="M2" s="111">
        <f>J2*$C$95*I2</f>
        <v>87.751062257330616</v>
      </c>
      <c r="N2" s="131">
        <f>$C$94*I2</f>
        <v>14.42501909150757</v>
      </c>
      <c r="O2" s="401">
        <f>I2</f>
        <v>0.21870967741935482</v>
      </c>
      <c r="P2" s="131">
        <f>$C$84*O2</f>
        <v>2.9536651474505211</v>
      </c>
      <c r="Q2" s="316">
        <v>4</v>
      </c>
      <c r="R2" s="51"/>
      <c r="S2" t="s">
        <v>172</v>
      </c>
    </row>
    <row r="3" spans="1:21" x14ac:dyDescent="0.3">
      <c r="A3" s="317"/>
      <c r="B3" s="132" t="s">
        <v>236</v>
      </c>
      <c r="C3" s="134" t="s">
        <v>174</v>
      </c>
      <c r="D3" s="484"/>
      <c r="E3" s="89">
        <v>1</v>
      </c>
      <c r="F3" s="133" t="s">
        <v>115</v>
      </c>
      <c r="G3" s="135">
        <v>45001</v>
      </c>
      <c r="H3" s="135">
        <v>45291</v>
      </c>
      <c r="I3" s="200">
        <f>SUM(E139:E147)+(D138*16)</f>
        <v>0.78129032258064512</v>
      </c>
      <c r="J3" s="480"/>
      <c r="K3" s="482"/>
      <c r="L3" s="482"/>
      <c r="M3" s="112">
        <f>J2*$C$95*I3</f>
        <v>313.4706088307592</v>
      </c>
      <c r="N3" s="112">
        <f>$C$94*I3</f>
        <v>51.530082949308756</v>
      </c>
      <c r="O3" s="402">
        <f>I3</f>
        <v>0.78129032258064512</v>
      </c>
      <c r="P3" s="112">
        <f>$C$84*O3</f>
        <v>10.551293491335047</v>
      </c>
      <c r="Q3" s="318">
        <f t="shared" ref="Q3:Q18" si="0">M3+N3+P3</f>
        <v>375.551985271403</v>
      </c>
      <c r="S3" t="s">
        <v>172</v>
      </c>
    </row>
    <row r="4" spans="1:21" x14ac:dyDescent="0.3">
      <c r="A4" s="319">
        <v>2</v>
      </c>
      <c r="B4" s="136" t="s">
        <v>124</v>
      </c>
      <c r="C4" s="138" t="s">
        <v>33</v>
      </c>
      <c r="D4" s="66">
        <v>1</v>
      </c>
      <c r="E4" s="66">
        <v>2</v>
      </c>
      <c r="F4" s="137" t="s">
        <v>150</v>
      </c>
      <c r="G4" s="139">
        <v>44927</v>
      </c>
      <c r="H4" s="139">
        <v>45291</v>
      </c>
      <c r="I4" s="201">
        <v>1</v>
      </c>
      <c r="J4" s="92">
        <f>p5a6*kneumoznil</f>
        <v>44.742000000000012</v>
      </c>
      <c r="K4" s="92"/>
      <c r="L4" s="92"/>
      <c r="M4" s="113">
        <f t="shared" ref="M4:M35" si="1">J4*$C$95</f>
        <v>335.73584708566312</v>
      </c>
      <c r="N4" s="113">
        <f>$C$94*I4</f>
        <v>65.955102040816328</v>
      </c>
      <c r="O4" s="403">
        <v>1</v>
      </c>
      <c r="P4" s="113">
        <f t="shared" ref="P4:P67" si="2">$C$84*O4</f>
        <v>13.504958638785569</v>
      </c>
      <c r="Q4" s="320">
        <f t="shared" si="0"/>
        <v>415.19590776526502</v>
      </c>
      <c r="S4" s="4"/>
      <c r="T4" s="4"/>
    </row>
    <row r="5" spans="1:21" x14ac:dyDescent="0.3">
      <c r="A5" s="319">
        <v>3</v>
      </c>
      <c r="B5" s="140" t="s">
        <v>125</v>
      </c>
      <c r="C5" s="142" t="s">
        <v>34</v>
      </c>
      <c r="D5" s="61">
        <v>1</v>
      </c>
      <c r="E5" s="61">
        <v>3</v>
      </c>
      <c r="F5" s="141" t="s">
        <v>10</v>
      </c>
      <c r="G5" s="143">
        <v>44927</v>
      </c>
      <c r="H5" s="143">
        <v>45291</v>
      </c>
      <c r="I5" s="202">
        <v>1</v>
      </c>
      <c r="J5" s="93">
        <f>p5a6*kposkodil</f>
        <v>89.484000000000023</v>
      </c>
      <c r="K5" s="93"/>
      <c r="L5" s="93"/>
      <c r="M5" s="114">
        <f t="shared" si="1"/>
        <v>671.47169417132625</v>
      </c>
      <c r="N5" s="114">
        <f>$C$94*I5</f>
        <v>65.955102040816328</v>
      </c>
      <c r="O5" s="404">
        <v>1</v>
      </c>
      <c r="P5" s="114">
        <f t="shared" si="2"/>
        <v>13.504958638785569</v>
      </c>
      <c r="Q5" s="321">
        <f t="shared" si="0"/>
        <v>750.93175485092809</v>
      </c>
      <c r="S5" s="4"/>
      <c r="T5" s="446"/>
    </row>
    <row r="6" spans="1:21" x14ac:dyDescent="0.3">
      <c r="A6" s="319">
        <v>4</v>
      </c>
      <c r="B6" s="144" t="s">
        <v>168</v>
      </c>
      <c r="C6" s="146" t="s">
        <v>35</v>
      </c>
      <c r="D6" s="62">
        <v>1</v>
      </c>
      <c r="E6" s="62">
        <v>4</v>
      </c>
      <c r="F6" s="145" t="s">
        <v>275</v>
      </c>
      <c r="G6" s="147">
        <v>44927</v>
      </c>
      <c r="H6" s="147">
        <v>45291</v>
      </c>
      <c r="I6" s="203">
        <v>1</v>
      </c>
      <c r="J6" s="94">
        <f>C83</f>
        <v>26.219431818181814</v>
      </c>
      <c r="K6" s="94"/>
      <c r="L6" s="94"/>
      <c r="M6" s="115">
        <f t="shared" si="1"/>
        <v>196.74585739533453</v>
      </c>
      <c r="N6" s="115">
        <f>$C$94*I6</f>
        <v>65.955102040816328</v>
      </c>
      <c r="O6" s="405">
        <v>1</v>
      </c>
      <c r="P6" s="115">
        <f t="shared" si="2"/>
        <v>13.504958638785569</v>
      </c>
      <c r="Q6" s="322">
        <f t="shared" si="0"/>
        <v>276.20591807493645</v>
      </c>
      <c r="S6" s="4"/>
      <c r="T6" s="51"/>
      <c r="U6" s="51"/>
    </row>
    <row r="7" spans="1:21" x14ac:dyDescent="0.3">
      <c r="A7" s="319">
        <v>5</v>
      </c>
      <c r="B7" s="148" t="s">
        <v>214</v>
      </c>
      <c r="C7" s="150" t="s">
        <v>138</v>
      </c>
      <c r="D7" s="63">
        <v>0</v>
      </c>
      <c r="E7" s="63">
        <v>5</v>
      </c>
      <c r="F7" s="149" t="s">
        <v>7</v>
      </c>
      <c r="G7" s="151">
        <v>44927</v>
      </c>
      <c r="H7" s="151">
        <v>45291</v>
      </c>
      <c r="I7" s="204">
        <v>1</v>
      </c>
      <c r="J7" s="95">
        <v>0</v>
      </c>
      <c r="K7" s="95"/>
      <c r="L7" s="95"/>
      <c r="M7" s="116">
        <f t="shared" si="1"/>
        <v>0</v>
      </c>
      <c r="N7" s="116">
        <f>$C$94*I7*D7</f>
        <v>0</v>
      </c>
      <c r="O7" s="406">
        <v>1</v>
      </c>
      <c r="P7" s="116">
        <f t="shared" si="2"/>
        <v>13.504958638785569</v>
      </c>
      <c r="Q7" s="323">
        <f t="shared" si="0"/>
        <v>13.504958638785569</v>
      </c>
      <c r="S7" s="4"/>
      <c r="T7" s="4"/>
      <c r="U7" s="51"/>
    </row>
    <row r="8" spans="1:21" x14ac:dyDescent="0.3">
      <c r="A8" s="319">
        <v>6</v>
      </c>
      <c r="B8" s="152" t="s">
        <v>126</v>
      </c>
      <c r="C8" s="154" t="s">
        <v>139</v>
      </c>
      <c r="D8" s="64">
        <v>1</v>
      </c>
      <c r="E8" s="64">
        <v>6</v>
      </c>
      <c r="F8" s="153" t="s">
        <v>16</v>
      </c>
      <c r="G8" s="155">
        <v>44927</v>
      </c>
      <c r="H8" s="155">
        <v>45291</v>
      </c>
      <c r="I8" s="205">
        <v>1</v>
      </c>
      <c r="J8" s="96">
        <v>0</v>
      </c>
      <c r="K8" s="96"/>
      <c r="L8" s="96"/>
      <c r="M8" s="117">
        <f t="shared" si="1"/>
        <v>0</v>
      </c>
      <c r="N8" s="117">
        <f t="shared" ref="N8:N20" si="3">$C$94*I8</f>
        <v>65.955102040816328</v>
      </c>
      <c r="O8" s="407">
        <v>1</v>
      </c>
      <c r="P8" s="117">
        <f t="shared" si="2"/>
        <v>13.504958638785569</v>
      </c>
      <c r="Q8" s="324">
        <f t="shared" si="0"/>
        <v>79.460060679601895</v>
      </c>
      <c r="S8" s="4"/>
      <c r="T8" s="4"/>
    </row>
    <row r="9" spans="1:21" x14ac:dyDescent="0.3">
      <c r="A9" s="319"/>
      <c r="B9" s="156"/>
      <c r="C9" s="158" t="s">
        <v>36</v>
      </c>
      <c r="D9" s="58">
        <v>1</v>
      </c>
      <c r="E9" s="58">
        <v>7</v>
      </c>
      <c r="F9" s="157" t="s">
        <v>8</v>
      </c>
      <c r="G9" s="159">
        <v>44927</v>
      </c>
      <c r="H9" s="159">
        <v>45291</v>
      </c>
      <c r="I9" s="206">
        <v>1</v>
      </c>
      <c r="J9" s="97">
        <v>21.675999999999998</v>
      </c>
      <c r="K9" s="97">
        <f>J9</f>
        <v>21.675999999999998</v>
      </c>
      <c r="L9" s="97">
        <f>J9</f>
        <v>21.675999999999998</v>
      </c>
      <c r="M9" s="118">
        <f t="shared" si="1"/>
        <v>162.65276968908032</v>
      </c>
      <c r="N9" s="118">
        <f t="shared" si="3"/>
        <v>65.955102040816328</v>
      </c>
      <c r="O9" s="408">
        <v>1</v>
      </c>
      <c r="P9" s="118">
        <f t="shared" si="2"/>
        <v>13.504958638785569</v>
      </c>
      <c r="Q9" s="325">
        <f t="shared" si="0"/>
        <v>242.11283036868224</v>
      </c>
      <c r="S9" s="4"/>
      <c r="T9" s="4"/>
    </row>
    <row r="10" spans="1:21" x14ac:dyDescent="0.3">
      <c r="A10" s="315">
        <v>7</v>
      </c>
      <c r="B10" s="160" t="s">
        <v>119</v>
      </c>
      <c r="C10" s="162" t="s">
        <v>37</v>
      </c>
      <c r="D10" s="67">
        <v>1</v>
      </c>
      <c r="E10" s="67">
        <v>8</v>
      </c>
      <c r="F10" s="161" t="s">
        <v>86</v>
      </c>
      <c r="G10" s="163">
        <v>44927</v>
      </c>
      <c r="H10" s="163">
        <v>45077</v>
      </c>
      <c r="I10" s="207">
        <f>SUM(E136:E140)</f>
        <v>0.42000000000000004</v>
      </c>
      <c r="J10" s="98">
        <f>(p5a6*kposkodil)*I10</f>
        <v>37.583280000000016</v>
      </c>
      <c r="K10" s="98"/>
      <c r="L10" s="84"/>
      <c r="M10" s="119">
        <f t="shared" si="1"/>
        <v>282.01811155195708</v>
      </c>
      <c r="N10" s="119">
        <f t="shared" si="3"/>
        <v>27.701142857142859</v>
      </c>
      <c r="O10" s="420">
        <f>I10</f>
        <v>0.42000000000000004</v>
      </c>
      <c r="P10" s="119">
        <f t="shared" si="2"/>
        <v>5.6720826282899397</v>
      </c>
      <c r="Q10" s="326">
        <f t="shared" si="0"/>
        <v>315.39133703738992</v>
      </c>
      <c r="R10" s="51"/>
      <c r="S10" t="s">
        <v>281</v>
      </c>
    </row>
    <row r="11" spans="1:21" x14ac:dyDescent="0.3">
      <c r="A11" s="317">
        <v>7</v>
      </c>
      <c r="B11" s="164" t="s">
        <v>120</v>
      </c>
      <c r="C11" s="166" t="s">
        <v>169</v>
      </c>
      <c r="D11" s="68"/>
      <c r="E11" s="68">
        <v>8</v>
      </c>
      <c r="F11" s="165" t="s">
        <v>87</v>
      </c>
      <c r="G11" s="167">
        <v>45078</v>
      </c>
      <c r="H11" s="167">
        <v>45291</v>
      </c>
      <c r="I11" s="197">
        <f>SUM(E141:E147)</f>
        <v>0.57999999999999996</v>
      </c>
      <c r="J11" s="107">
        <v>10.702</v>
      </c>
      <c r="K11" s="107"/>
      <c r="L11" s="85"/>
      <c r="M11" s="120">
        <f t="shared" si="1"/>
        <v>80.305865529273746</v>
      </c>
      <c r="N11" s="120">
        <f t="shared" si="3"/>
        <v>38.253959183673466</v>
      </c>
      <c r="O11" s="421">
        <f>I11</f>
        <v>0.57999999999999996</v>
      </c>
      <c r="P11" s="120">
        <f t="shared" si="2"/>
        <v>7.832876010495629</v>
      </c>
      <c r="Q11" s="327">
        <f t="shared" si="0"/>
        <v>126.39270072344283</v>
      </c>
      <c r="S11" t="s">
        <v>282</v>
      </c>
    </row>
    <row r="12" spans="1:21" x14ac:dyDescent="0.3">
      <c r="A12" s="319"/>
      <c r="B12" s="168"/>
      <c r="C12" s="170" t="s">
        <v>140</v>
      </c>
      <c r="D12" s="33">
        <v>1</v>
      </c>
      <c r="E12" s="33">
        <v>9</v>
      </c>
      <c r="F12" s="169" t="s">
        <v>9</v>
      </c>
      <c r="G12" s="171">
        <v>44927</v>
      </c>
      <c r="H12" s="171">
        <v>45291</v>
      </c>
      <c r="I12" s="208">
        <v>1</v>
      </c>
      <c r="J12" s="99">
        <v>0.89100000000000001</v>
      </c>
      <c r="K12" s="99">
        <f>J12</f>
        <v>0.89100000000000001</v>
      </c>
      <c r="L12" s="99">
        <f>J12</f>
        <v>0.89100000000000001</v>
      </c>
      <c r="M12" s="118">
        <f t="shared" si="1"/>
        <v>6.6859022786939732</v>
      </c>
      <c r="N12" s="125">
        <f t="shared" si="3"/>
        <v>65.955102040816328</v>
      </c>
      <c r="O12" s="409">
        <v>1</v>
      </c>
      <c r="P12" s="125">
        <f t="shared" si="2"/>
        <v>13.504958638785569</v>
      </c>
      <c r="Q12" s="328">
        <f t="shared" si="0"/>
        <v>86.145962958295868</v>
      </c>
      <c r="S12" s="2"/>
      <c r="T12" s="2"/>
    </row>
    <row r="13" spans="1:21" x14ac:dyDescent="0.3">
      <c r="A13" s="315">
        <v>8</v>
      </c>
      <c r="B13" s="172" t="s">
        <v>121</v>
      </c>
      <c r="C13" s="174" t="s">
        <v>38</v>
      </c>
      <c r="D13" s="69">
        <v>1</v>
      </c>
      <c r="E13" s="69">
        <v>10</v>
      </c>
      <c r="F13" s="173" t="s">
        <v>14</v>
      </c>
      <c r="G13" s="175">
        <v>44927</v>
      </c>
      <c r="H13" s="175">
        <v>45107</v>
      </c>
      <c r="I13" s="198">
        <f>SUM(E136:E141)</f>
        <v>0.5</v>
      </c>
      <c r="J13" s="108">
        <v>12</v>
      </c>
      <c r="K13" s="108"/>
      <c r="L13" s="109"/>
      <c r="M13" s="121">
        <f>J13*$C$95</f>
        <v>90.045821935272372</v>
      </c>
      <c r="N13" s="121">
        <f t="shared" si="3"/>
        <v>32.977551020408164</v>
      </c>
      <c r="O13" s="410">
        <f>I13</f>
        <v>0.5</v>
      </c>
      <c r="P13" s="121">
        <f t="shared" si="2"/>
        <v>6.7524793193927843</v>
      </c>
      <c r="Q13" s="329">
        <f t="shared" si="0"/>
        <v>129.77585227507333</v>
      </c>
      <c r="S13" t="s">
        <v>283</v>
      </c>
    </row>
    <row r="14" spans="1:21" x14ac:dyDescent="0.3">
      <c r="A14" s="317">
        <v>8</v>
      </c>
      <c r="B14" s="176" t="s">
        <v>118</v>
      </c>
      <c r="C14" s="178" t="s">
        <v>170</v>
      </c>
      <c r="D14" s="70"/>
      <c r="E14" s="70">
        <v>10</v>
      </c>
      <c r="F14" s="177" t="s">
        <v>116</v>
      </c>
      <c r="G14" s="179">
        <v>45108</v>
      </c>
      <c r="H14" s="179">
        <v>45291</v>
      </c>
      <c r="I14" s="209">
        <f>SUM(E142:E147)</f>
        <v>0.5</v>
      </c>
      <c r="J14" s="100">
        <f>pporucha*kporucha*I14</f>
        <v>13.109715909090907</v>
      </c>
      <c r="K14" s="100"/>
      <c r="L14" s="110"/>
      <c r="M14" s="122">
        <f>J14*$C$95</f>
        <v>98.372928697667263</v>
      </c>
      <c r="N14" s="122">
        <f t="shared" si="3"/>
        <v>32.977551020408164</v>
      </c>
      <c r="O14" s="411">
        <f>I14</f>
        <v>0.5</v>
      </c>
      <c r="P14" s="122">
        <f t="shared" si="2"/>
        <v>6.7524793193927843</v>
      </c>
      <c r="Q14" s="330">
        <f t="shared" si="0"/>
        <v>138.10295903746822</v>
      </c>
      <c r="S14" t="s">
        <v>284</v>
      </c>
    </row>
    <row r="15" spans="1:21" x14ac:dyDescent="0.3">
      <c r="A15" s="319"/>
      <c r="B15" s="168"/>
      <c r="C15" s="170" t="s">
        <v>141</v>
      </c>
      <c r="D15" s="33">
        <v>1</v>
      </c>
      <c r="E15" s="33">
        <v>11</v>
      </c>
      <c r="F15" s="169" t="s">
        <v>11</v>
      </c>
      <c r="G15" s="171">
        <v>44927</v>
      </c>
      <c r="H15" s="171">
        <v>45291</v>
      </c>
      <c r="I15" s="208">
        <v>1</v>
      </c>
      <c r="J15" s="99">
        <v>14.137</v>
      </c>
      <c r="K15" s="99">
        <f>J15</f>
        <v>14.137</v>
      </c>
      <c r="L15" s="99">
        <f>J15</f>
        <v>14.137</v>
      </c>
      <c r="M15" s="118">
        <f t="shared" si="1"/>
        <v>106.08148205824546</v>
      </c>
      <c r="N15" s="125">
        <f t="shared" si="3"/>
        <v>65.955102040816328</v>
      </c>
      <c r="O15" s="409">
        <v>1</v>
      </c>
      <c r="P15" s="125">
        <f t="shared" si="2"/>
        <v>13.504958638785569</v>
      </c>
      <c r="Q15" s="328">
        <f t="shared" si="0"/>
        <v>185.54154273784735</v>
      </c>
      <c r="S15" s="2"/>
      <c r="T15" s="2"/>
    </row>
    <row r="16" spans="1:21" x14ac:dyDescent="0.3">
      <c r="A16" s="315">
        <v>9</v>
      </c>
      <c r="B16" s="180" t="s">
        <v>121</v>
      </c>
      <c r="C16" s="181" t="s">
        <v>39</v>
      </c>
      <c r="D16" s="71">
        <v>1</v>
      </c>
      <c r="E16" s="71">
        <v>12</v>
      </c>
      <c r="F16" s="180" t="s">
        <v>109</v>
      </c>
      <c r="G16" s="182">
        <v>44927</v>
      </c>
      <c r="H16" s="182">
        <v>45000</v>
      </c>
      <c r="I16" s="210">
        <f>SUM(E136:E137)+(D138*15)</f>
        <v>0.21870967741935482</v>
      </c>
      <c r="J16" s="101">
        <v>10.650000000000006</v>
      </c>
      <c r="K16" s="101"/>
      <c r="L16" s="86"/>
      <c r="M16" s="123">
        <f t="shared" si="1"/>
        <v>79.915666967554273</v>
      </c>
      <c r="N16" s="123">
        <f t="shared" si="3"/>
        <v>14.42501909150757</v>
      </c>
      <c r="O16" s="412">
        <f>I16</f>
        <v>0.21870967741935482</v>
      </c>
      <c r="P16" s="123">
        <f t="shared" si="2"/>
        <v>2.9536651474505211</v>
      </c>
      <c r="Q16" s="331">
        <f t="shared" si="0"/>
        <v>97.29435120651236</v>
      </c>
      <c r="S16" t="s">
        <v>283</v>
      </c>
    </row>
    <row r="17" spans="1:20" x14ac:dyDescent="0.3">
      <c r="A17" s="317">
        <v>9</v>
      </c>
      <c r="B17" s="183" t="s">
        <v>129</v>
      </c>
      <c r="C17" s="184" t="s">
        <v>171</v>
      </c>
      <c r="D17" s="72"/>
      <c r="E17" s="72">
        <v>12</v>
      </c>
      <c r="F17" s="183" t="s">
        <v>114</v>
      </c>
      <c r="G17" s="185">
        <v>45001</v>
      </c>
      <c r="H17" s="185">
        <v>45291</v>
      </c>
      <c r="I17" s="211">
        <f>SUM(E139:E147)+(D138*16)</f>
        <v>0.78129032258064512</v>
      </c>
      <c r="J17" s="102">
        <f>(p5a6*kneumoznil)*I17</f>
        <v>34.956491612903235</v>
      </c>
      <c r="K17" s="102"/>
      <c r="L17" s="87"/>
      <c r="M17" s="124">
        <f t="shared" si="1"/>
        <v>262.30716827144391</v>
      </c>
      <c r="N17" s="124">
        <f t="shared" si="3"/>
        <v>51.530082949308756</v>
      </c>
      <c r="O17" s="413">
        <f>I17</f>
        <v>0.78129032258064512</v>
      </c>
      <c r="P17" s="124">
        <f t="shared" si="2"/>
        <v>10.551293491335047</v>
      </c>
      <c r="Q17" s="332">
        <f t="shared" si="0"/>
        <v>324.38854471208771</v>
      </c>
      <c r="S17" t="s">
        <v>285</v>
      </c>
    </row>
    <row r="18" spans="1:20" x14ac:dyDescent="0.3">
      <c r="A18" s="333"/>
      <c r="B18" s="186"/>
      <c r="C18" s="188" t="s">
        <v>40</v>
      </c>
      <c r="D18" s="65">
        <v>1</v>
      </c>
      <c r="E18" s="65">
        <v>13</v>
      </c>
      <c r="F18" s="187" t="s">
        <v>12</v>
      </c>
      <c r="G18" s="189">
        <v>44927</v>
      </c>
      <c r="H18" s="189">
        <v>45291</v>
      </c>
      <c r="I18" s="212">
        <v>1</v>
      </c>
      <c r="J18" s="103">
        <v>11.361000000000001</v>
      </c>
      <c r="K18" s="103">
        <f>J18</f>
        <v>11.361000000000001</v>
      </c>
      <c r="L18" s="103">
        <f>J18</f>
        <v>11.361000000000001</v>
      </c>
      <c r="M18" s="118">
        <f t="shared" si="1"/>
        <v>85.250881917219118</v>
      </c>
      <c r="N18" s="190">
        <f t="shared" si="3"/>
        <v>65.955102040816328</v>
      </c>
      <c r="O18" s="414">
        <v>1</v>
      </c>
      <c r="P18" s="190">
        <f t="shared" si="2"/>
        <v>13.504958638785569</v>
      </c>
      <c r="Q18" s="334">
        <f t="shared" si="0"/>
        <v>164.71094259682104</v>
      </c>
      <c r="S18" s="2"/>
      <c r="T18" s="2"/>
    </row>
    <row r="19" spans="1:20" x14ac:dyDescent="0.3">
      <c r="A19" s="319"/>
      <c r="B19" s="168"/>
      <c r="C19" s="170" t="s">
        <v>41</v>
      </c>
      <c r="D19" s="33">
        <v>1</v>
      </c>
      <c r="E19" s="33">
        <v>14</v>
      </c>
      <c r="F19" s="169" t="s">
        <v>13</v>
      </c>
      <c r="G19" s="171">
        <v>44927</v>
      </c>
      <c r="H19" s="171">
        <v>45291</v>
      </c>
      <c r="I19" s="208">
        <v>1</v>
      </c>
      <c r="J19" s="99">
        <v>6.9820000000000002</v>
      </c>
      <c r="K19" s="99">
        <f>J19</f>
        <v>6.9820000000000002</v>
      </c>
      <c r="L19" s="99">
        <f>J19</f>
        <v>6.9820000000000002</v>
      </c>
      <c r="M19" s="118">
        <f t="shared" si="1"/>
        <v>52.391660729339307</v>
      </c>
      <c r="N19" s="125">
        <f t="shared" si="3"/>
        <v>65.955102040816328</v>
      </c>
      <c r="O19" s="409">
        <v>1</v>
      </c>
      <c r="P19" s="125">
        <f t="shared" si="2"/>
        <v>13.504958638785569</v>
      </c>
      <c r="Q19" s="328">
        <f>M19+N19+P19</f>
        <v>131.85172140894122</v>
      </c>
      <c r="S19" s="4"/>
      <c r="T19" s="4"/>
    </row>
    <row r="20" spans="1:20" x14ac:dyDescent="0.3">
      <c r="A20" s="315">
        <v>14</v>
      </c>
      <c r="B20" s="213" t="s">
        <v>216</v>
      </c>
      <c r="C20" s="215" t="s">
        <v>142</v>
      </c>
      <c r="D20" s="216">
        <v>1</v>
      </c>
      <c r="E20" s="216">
        <v>15</v>
      </c>
      <c r="F20" s="214" t="s">
        <v>15</v>
      </c>
      <c r="G20" s="217">
        <v>44927</v>
      </c>
      <c r="H20" s="217">
        <v>45291</v>
      </c>
      <c r="I20" s="485">
        <v>1</v>
      </c>
      <c r="J20" s="218">
        <f>pporucha*kporucha</f>
        <v>26.219431818181814</v>
      </c>
      <c r="K20" s="219"/>
      <c r="L20" s="220"/>
      <c r="M20" s="221">
        <f t="shared" si="1"/>
        <v>196.74585739533453</v>
      </c>
      <c r="N20" s="502">
        <f t="shared" si="3"/>
        <v>65.955102040816328</v>
      </c>
      <c r="O20" s="516">
        <v>0</v>
      </c>
      <c r="P20" s="502">
        <f>$C$84*O20</f>
        <v>0</v>
      </c>
      <c r="Q20" s="522">
        <f>M20+M21+M22+N20+P20</f>
        <v>288.38653014318731</v>
      </c>
      <c r="S20" s="2" t="s">
        <v>286</v>
      </c>
      <c r="T20" s="2"/>
    </row>
    <row r="21" spans="1:20" x14ac:dyDescent="0.3">
      <c r="A21" s="319"/>
      <c r="B21" s="222" t="s">
        <v>217</v>
      </c>
      <c r="C21" s="224" t="s">
        <v>142</v>
      </c>
      <c r="D21" s="225"/>
      <c r="E21" s="225">
        <v>15</v>
      </c>
      <c r="F21" s="223" t="s">
        <v>15</v>
      </c>
      <c r="G21" s="226">
        <v>44927</v>
      </c>
      <c r="H21" s="226">
        <v>45291</v>
      </c>
      <c r="I21" s="486"/>
      <c r="J21" s="227">
        <v>3.423</v>
      </c>
      <c r="K21" s="227">
        <f>J21</f>
        <v>3.423</v>
      </c>
      <c r="L21" s="228"/>
      <c r="M21" s="229">
        <f t="shared" si="1"/>
        <v>25.685570707036444</v>
      </c>
      <c r="N21" s="503"/>
      <c r="O21" s="517"/>
      <c r="P21" s="503"/>
      <c r="Q21" s="523"/>
      <c r="S21" s="4"/>
      <c r="T21" s="4"/>
    </row>
    <row r="22" spans="1:20" x14ac:dyDescent="0.3">
      <c r="A22" s="317"/>
      <c r="B22" s="230" t="s">
        <v>218</v>
      </c>
      <c r="C22" s="232" t="s">
        <v>142</v>
      </c>
      <c r="D22" s="233"/>
      <c r="E22" s="233">
        <v>15</v>
      </c>
      <c r="F22" s="231" t="s">
        <v>15</v>
      </c>
      <c r="G22" s="234">
        <v>44927</v>
      </c>
      <c r="H22" s="234">
        <v>45291</v>
      </c>
      <c r="I22" s="487"/>
      <c r="J22" s="235">
        <v>0</v>
      </c>
      <c r="K22" s="235">
        <f>J22</f>
        <v>0</v>
      </c>
      <c r="L22" s="236"/>
      <c r="M22" s="237">
        <f t="shared" si="1"/>
        <v>0</v>
      </c>
      <c r="N22" s="504"/>
      <c r="O22" s="518"/>
      <c r="P22" s="504"/>
      <c r="Q22" s="524"/>
      <c r="S22" s="4"/>
      <c r="T22" s="4"/>
    </row>
    <row r="23" spans="1:20" x14ac:dyDescent="0.3">
      <c r="A23" s="333"/>
      <c r="B23" s="186"/>
      <c r="C23" s="188" t="s">
        <v>42</v>
      </c>
      <c r="D23" s="65">
        <v>1</v>
      </c>
      <c r="E23" s="65">
        <v>16</v>
      </c>
      <c r="F23" s="187" t="s">
        <v>263</v>
      </c>
      <c r="G23" s="189">
        <v>44927</v>
      </c>
      <c r="H23" s="189">
        <v>45291</v>
      </c>
      <c r="I23" s="212">
        <v>1</v>
      </c>
      <c r="J23" s="103">
        <v>20.463999999999999</v>
      </c>
      <c r="K23" s="103">
        <f>J23</f>
        <v>20.463999999999999</v>
      </c>
      <c r="L23" s="103">
        <f>J23</f>
        <v>20.463999999999999</v>
      </c>
      <c r="M23" s="118">
        <f t="shared" si="1"/>
        <v>153.5581416736178</v>
      </c>
      <c r="N23" s="190">
        <f>$C$94*I23</f>
        <v>65.955102040816328</v>
      </c>
      <c r="O23" s="414">
        <v>0</v>
      </c>
      <c r="P23" s="190">
        <f t="shared" si="2"/>
        <v>0</v>
      </c>
      <c r="Q23" s="334">
        <f>M23+N23+P23</f>
        <v>219.51324371443411</v>
      </c>
      <c r="S23" s="4"/>
      <c r="T23" s="4"/>
    </row>
    <row r="24" spans="1:20" x14ac:dyDescent="0.3">
      <c r="A24" s="333"/>
      <c r="B24" s="186"/>
      <c r="C24" s="188" t="s">
        <v>143</v>
      </c>
      <c r="D24" s="65">
        <v>1</v>
      </c>
      <c r="E24" s="65">
        <v>17</v>
      </c>
      <c r="F24" s="187" t="s">
        <v>276</v>
      </c>
      <c r="G24" s="189">
        <v>44927</v>
      </c>
      <c r="H24" s="189">
        <v>45291</v>
      </c>
      <c r="I24" s="212">
        <v>1</v>
      </c>
      <c r="J24" s="103">
        <v>30.956</v>
      </c>
      <c r="K24" s="103">
        <f>J24</f>
        <v>30.956</v>
      </c>
      <c r="L24" s="103">
        <f>J24</f>
        <v>30.956</v>
      </c>
      <c r="M24" s="118">
        <f t="shared" si="1"/>
        <v>232.28820531902429</v>
      </c>
      <c r="N24" s="190">
        <f>$C$94*I24</f>
        <v>65.955102040816328</v>
      </c>
      <c r="O24" s="414">
        <v>0</v>
      </c>
      <c r="P24" s="190">
        <f t="shared" si="2"/>
        <v>0</v>
      </c>
      <c r="Q24" s="334">
        <f t="shared" ref="Q24:Q25" si="4">M24+N24+P24</f>
        <v>298.24330735984063</v>
      </c>
      <c r="S24" s="4"/>
      <c r="T24" s="4"/>
    </row>
    <row r="25" spans="1:20" x14ac:dyDescent="0.3">
      <c r="A25" s="333"/>
      <c r="B25" s="186"/>
      <c r="C25" s="188" t="s">
        <v>144</v>
      </c>
      <c r="D25" s="65">
        <v>1</v>
      </c>
      <c r="E25" s="65">
        <v>18</v>
      </c>
      <c r="F25" s="187" t="s">
        <v>17</v>
      </c>
      <c r="G25" s="189">
        <v>44927</v>
      </c>
      <c r="H25" s="189">
        <v>45291</v>
      </c>
      <c r="I25" s="212">
        <v>1</v>
      </c>
      <c r="J25" s="103">
        <v>49.970999999999997</v>
      </c>
      <c r="K25" s="103">
        <f>J25</f>
        <v>49.970999999999997</v>
      </c>
      <c r="L25" s="103">
        <f>J25</f>
        <v>49.970999999999997</v>
      </c>
      <c r="M25" s="118">
        <f t="shared" si="1"/>
        <v>374.97331399395796</v>
      </c>
      <c r="N25" s="190">
        <f>$C$94*I25</f>
        <v>65.955102040816328</v>
      </c>
      <c r="O25" s="414">
        <v>0</v>
      </c>
      <c r="P25" s="190">
        <f t="shared" si="2"/>
        <v>0</v>
      </c>
      <c r="Q25" s="334">
        <f t="shared" si="4"/>
        <v>440.92841603477427</v>
      </c>
      <c r="S25" s="4"/>
      <c r="T25" s="4"/>
    </row>
    <row r="26" spans="1:20" ht="28.8" x14ac:dyDescent="0.3">
      <c r="A26" s="315">
        <v>15</v>
      </c>
      <c r="B26" s="238" t="s">
        <v>189</v>
      </c>
      <c r="C26" s="240" t="s">
        <v>43</v>
      </c>
      <c r="D26" s="241">
        <v>1</v>
      </c>
      <c r="E26" s="241">
        <v>19</v>
      </c>
      <c r="F26" s="239" t="s">
        <v>18</v>
      </c>
      <c r="G26" s="242">
        <v>44927</v>
      </c>
      <c r="H26" s="242">
        <v>45291</v>
      </c>
      <c r="I26" s="488">
        <v>1</v>
      </c>
      <c r="J26" s="243">
        <f>((p5a6*3)-J28)/2</f>
        <v>37.428000000000011</v>
      </c>
      <c r="K26" s="244"/>
      <c r="L26" s="245"/>
      <c r="M26" s="246">
        <f t="shared" si="1"/>
        <v>280.85291861611461</v>
      </c>
      <c r="N26" s="505">
        <f>$C$94*I26</f>
        <v>65.955102040816328</v>
      </c>
      <c r="O26" s="519">
        <v>0</v>
      </c>
      <c r="P26" s="505">
        <f t="shared" si="2"/>
        <v>0</v>
      </c>
      <c r="Q26" s="491">
        <f>M26+M27+M28+N26+P26</f>
        <v>737.42679621214256</v>
      </c>
      <c r="S26" s="4" t="s">
        <v>295</v>
      </c>
      <c r="T26" s="4"/>
    </row>
    <row r="27" spans="1:20" ht="28.8" x14ac:dyDescent="0.3">
      <c r="A27" s="319"/>
      <c r="B27" s="455" t="s">
        <v>215</v>
      </c>
      <c r="C27" s="248" t="s">
        <v>43</v>
      </c>
      <c r="D27" s="249"/>
      <c r="E27" s="249">
        <v>19</v>
      </c>
      <c r="F27" s="247" t="s">
        <v>18</v>
      </c>
      <c r="G27" s="250">
        <v>44927</v>
      </c>
      <c r="H27" s="250">
        <v>45291</v>
      </c>
      <c r="I27" s="489"/>
      <c r="J27" s="251">
        <f>((p5a6*3)-J28)/2</f>
        <v>37.428000000000011</v>
      </c>
      <c r="K27" s="252"/>
      <c r="L27" s="253"/>
      <c r="M27" s="254">
        <f t="shared" si="1"/>
        <v>280.85291861611461</v>
      </c>
      <c r="N27" s="506"/>
      <c r="O27" s="520"/>
      <c r="P27" s="506"/>
      <c r="Q27" s="492"/>
      <c r="S27" s="2" t="s">
        <v>287</v>
      </c>
      <c r="T27" s="2"/>
    </row>
    <row r="28" spans="1:20" x14ac:dyDescent="0.3">
      <c r="A28" s="317"/>
      <c r="B28" s="255" t="s">
        <v>159</v>
      </c>
      <c r="C28" s="257" t="s">
        <v>43</v>
      </c>
      <c r="D28" s="258"/>
      <c r="E28" s="258">
        <v>19</v>
      </c>
      <c r="F28" s="256" t="s">
        <v>18</v>
      </c>
      <c r="G28" s="259">
        <v>44927</v>
      </c>
      <c r="H28" s="259">
        <v>45291</v>
      </c>
      <c r="I28" s="490"/>
      <c r="J28" s="260">
        <v>14.628</v>
      </c>
      <c r="K28" s="260">
        <f>J28</f>
        <v>14.628</v>
      </c>
      <c r="L28" s="261"/>
      <c r="M28" s="262">
        <f t="shared" si="1"/>
        <v>109.76585693909702</v>
      </c>
      <c r="N28" s="507"/>
      <c r="O28" s="521"/>
      <c r="P28" s="507"/>
      <c r="Q28" s="493"/>
      <c r="S28" s="4"/>
      <c r="T28" s="4"/>
    </row>
    <row r="29" spans="1:20" x14ac:dyDescent="0.3">
      <c r="A29" s="333"/>
      <c r="B29" s="186"/>
      <c r="C29" s="188" t="s">
        <v>44</v>
      </c>
      <c r="D29" s="65">
        <v>1</v>
      </c>
      <c r="E29" s="65">
        <v>20</v>
      </c>
      <c r="F29" s="187" t="s">
        <v>19</v>
      </c>
      <c r="G29" s="189">
        <v>44927</v>
      </c>
      <c r="H29" s="189">
        <v>45291</v>
      </c>
      <c r="I29" s="212">
        <v>1</v>
      </c>
      <c r="J29" s="103">
        <v>53.869</v>
      </c>
      <c r="K29" s="103">
        <f>J29</f>
        <v>53.869</v>
      </c>
      <c r="L29" s="103">
        <f>J29</f>
        <v>53.869</v>
      </c>
      <c r="M29" s="118">
        <f t="shared" si="1"/>
        <v>404.22319848593224</v>
      </c>
      <c r="N29" s="190">
        <f>$C$94*I29</f>
        <v>65.955102040816328</v>
      </c>
      <c r="O29" s="414">
        <v>1</v>
      </c>
      <c r="P29" s="190">
        <f t="shared" si="2"/>
        <v>13.504958638785569</v>
      </c>
      <c r="Q29" s="334">
        <f t="shared" ref="Q29:Q31" si="5">M29+N29+P29</f>
        <v>483.68325916553414</v>
      </c>
      <c r="S29" s="4"/>
      <c r="T29" s="4"/>
    </row>
    <row r="30" spans="1:20" x14ac:dyDescent="0.3">
      <c r="A30" s="333"/>
      <c r="B30" s="186"/>
      <c r="C30" s="188" t="s">
        <v>45</v>
      </c>
      <c r="D30" s="65">
        <v>1</v>
      </c>
      <c r="E30" s="65">
        <v>21</v>
      </c>
      <c r="F30" s="187" t="s">
        <v>20</v>
      </c>
      <c r="G30" s="189">
        <v>44927</v>
      </c>
      <c r="H30" s="189">
        <v>45291</v>
      </c>
      <c r="I30" s="212">
        <v>1</v>
      </c>
      <c r="J30" s="103">
        <v>19.402000000000001</v>
      </c>
      <c r="K30" s="103">
        <f>J30</f>
        <v>19.402000000000001</v>
      </c>
      <c r="L30" s="103">
        <f>J30</f>
        <v>19.402000000000001</v>
      </c>
      <c r="M30" s="118">
        <f t="shared" si="1"/>
        <v>145.58908643234622</v>
      </c>
      <c r="N30" s="190">
        <f>$C$94*I30</f>
        <v>65.955102040816328</v>
      </c>
      <c r="O30" s="414">
        <v>1</v>
      </c>
      <c r="P30" s="190">
        <f t="shared" si="2"/>
        <v>13.504958638785569</v>
      </c>
      <c r="Q30" s="334">
        <f t="shared" si="5"/>
        <v>225.04914711194812</v>
      </c>
      <c r="S30" s="4"/>
      <c r="T30" s="4"/>
    </row>
    <row r="31" spans="1:20" x14ac:dyDescent="0.3">
      <c r="A31" s="333"/>
      <c r="B31" s="186"/>
      <c r="C31" s="188" t="s">
        <v>46</v>
      </c>
      <c r="D31" s="65">
        <v>1</v>
      </c>
      <c r="E31" s="65">
        <v>22</v>
      </c>
      <c r="F31" s="187" t="s">
        <v>21</v>
      </c>
      <c r="G31" s="189">
        <v>44927</v>
      </c>
      <c r="H31" s="189">
        <v>45291</v>
      </c>
      <c r="I31" s="212">
        <v>1</v>
      </c>
      <c r="J31" s="103">
        <v>42.57</v>
      </c>
      <c r="K31" s="103">
        <f>J31</f>
        <v>42.57</v>
      </c>
      <c r="L31" s="103">
        <f>J31</f>
        <v>42.57</v>
      </c>
      <c r="M31" s="118">
        <f t="shared" si="1"/>
        <v>319.43755331537875</v>
      </c>
      <c r="N31" s="190">
        <f>$C$94*I31</f>
        <v>65.955102040816328</v>
      </c>
      <c r="O31" s="414">
        <v>1</v>
      </c>
      <c r="P31" s="190">
        <f t="shared" si="2"/>
        <v>13.504958638785569</v>
      </c>
      <c r="Q31" s="334">
        <f t="shared" si="5"/>
        <v>398.89761399498065</v>
      </c>
      <c r="S31" s="4"/>
      <c r="T31" s="4"/>
    </row>
    <row r="32" spans="1:20" ht="28.8" x14ac:dyDescent="0.3">
      <c r="A32" s="315">
        <v>16</v>
      </c>
      <c r="B32" s="263" t="s">
        <v>262</v>
      </c>
      <c r="C32" s="265" t="s">
        <v>145</v>
      </c>
      <c r="D32" s="266">
        <v>1</v>
      </c>
      <c r="E32" s="266">
        <v>23</v>
      </c>
      <c r="F32" s="264" t="s">
        <v>22</v>
      </c>
      <c r="G32" s="267">
        <v>44927</v>
      </c>
      <c r="H32" s="267">
        <v>45107</v>
      </c>
      <c r="I32" s="527">
        <f>SUM(E136:E141)</f>
        <v>0.5</v>
      </c>
      <c r="J32" s="268">
        <f>pporucha*SUM(E136:E141)</f>
        <v>13.109715909090907</v>
      </c>
      <c r="K32" s="269"/>
      <c r="L32" s="270"/>
      <c r="M32" s="271">
        <f t="shared" si="1"/>
        <v>98.372928697667263</v>
      </c>
      <c r="N32" s="508">
        <f>$C$94*I32</f>
        <v>32.977551020408164</v>
      </c>
      <c r="O32" s="543">
        <f>I32</f>
        <v>0.5</v>
      </c>
      <c r="P32" s="508">
        <f>$C$84*O32</f>
        <v>6.7524793193927843</v>
      </c>
      <c r="Q32" s="494">
        <f>M32+M33+M34+N32+P32</f>
        <v>248.1689687163495</v>
      </c>
      <c r="S32" t="s">
        <v>288</v>
      </c>
    </row>
    <row r="33" spans="1:20" x14ac:dyDescent="0.3">
      <c r="A33" s="319"/>
      <c r="B33" s="272" t="s">
        <v>158</v>
      </c>
      <c r="C33" s="274" t="s">
        <v>145</v>
      </c>
      <c r="D33" s="275"/>
      <c r="E33" s="275">
        <v>23</v>
      </c>
      <c r="F33" s="273" t="s">
        <v>22</v>
      </c>
      <c r="G33" s="276">
        <v>44927</v>
      </c>
      <c r="H33" s="276">
        <v>45107</v>
      </c>
      <c r="I33" s="528"/>
      <c r="J33" s="277">
        <v>12.3</v>
      </c>
      <c r="K33" s="277">
        <f>J33+J36</f>
        <v>22.8</v>
      </c>
      <c r="L33" s="278"/>
      <c r="M33" s="279">
        <f t="shared" si="1"/>
        <v>92.296967483654186</v>
      </c>
      <c r="N33" s="509"/>
      <c r="O33" s="544"/>
      <c r="P33" s="509"/>
      <c r="Q33" s="495"/>
      <c r="S33" s="2" t="s">
        <v>286</v>
      </c>
      <c r="T33" s="2"/>
    </row>
    <row r="34" spans="1:20" x14ac:dyDescent="0.3">
      <c r="A34" s="344"/>
      <c r="B34" s="345" t="s">
        <v>159</v>
      </c>
      <c r="C34" s="347" t="s">
        <v>145</v>
      </c>
      <c r="D34" s="348"/>
      <c r="E34" s="348">
        <v>23</v>
      </c>
      <c r="F34" s="346" t="s">
        <v>22</v>
      </c>
      <c r="G34" s="349">
        <v>44927</v>
      </c>
      <c r="H34" s="349">
        <v>45107</v>
      </c>
      <c r="I34" s="529"/>
      <c r="J34" s="350">
        <v>2.3679999999999999</v>
      </c>
      <c r="K34" s="350">
        <f>J34+J37</f>
        <v>9.1679999999999993</v>
      </c>
      <c r="L34" s="351"/>
      <c r="M34" s="352">
        <f t="shared" si="1"/>
        <v>17.76904219522708</v>
      </c>
      <c r="N34" s="510"/>
      <c r="O34" s="545"/>
      <c r="P34" s="510"/>
      <c r="Q34" s="496"/>
      <c r="S34" s="4"/>
      <c r="T34" s="4"/>
    </row>
    <row r="35" spans="1:20" x14ac:dyDescent="0.3">
      <c r="A35" s="319"/>
      <c r="B35" s="272" t="s">
        <v>160</v>
      </c>
      <c r="C35" s="274" t="s">
        <v>47</v>
      </c>
      <c r="D35" s="275"/>
      <c r="E35" s="275">
        <v>23</v>
      </c>
      <c r="F35" s="273" t="s">
        <v>150</v>
      </c>
      <c r="G35" s="276">
        <v>45108</v>
      </c>
      <c r="H35" s="276">
        <v>45291</v>
      </c>
      <c r="I35" s="530">
        <f>SUM(E142:E147)</f>
        <v>0.5</v>
      </c>
      <c r="J35" s="277">
        <v>6.28</v>
      </c>
      <c r="K35" s="277"/>
      <c r="L35" s="278"/>
      <c r="M35" s="279">
        <f t="shared" si="1"/>
        <v>47.123980146125874</v>
      </c>
      <c r="N35" s="511">
        <f>$C$94*I35</f>
        <v>32.977551020408164</v>
      </c>
      <c r="O35" s="546">
        <v>0.5</v>
      </c>
      <c r="P35" s="511">
        <f t="shared" si="2"/>
        <v>6.7524793193927843</v>
      </c>
      <c r="Q35" s="497">
        <f>M35+M36+M37+N35+P35</f>
        <v>216.67007044261115</v>
      </c>
      <c r="S35" s="4"/>
      <c r="T35" s="4"/>
    </row>
    <row r="36" spans="1:20" x14ac:dyDescent="0.3">
      <c r="A36" s="319"/>
      <c r="B36" s="272" t="s">
        <v>161</v>
      </c>
      <c r="C36" s="274" t="s">
        <v>47</v>
      </c>
      <c r="D36" s="275"/>
      <c r="E36" s="275">
        <v>23</v>
      </c>
      <c r="F36" s="273" t="s">
        <v>150</v>
      </c>
      <c r="G36" s="276">
        <v>45108</v>
      </c>
      <c r="H36" s="276">
        <v>45291</v>
      </c>
      <c r="I36" s="528"/>
      <c r="J36" s="277">
        <v>10.5</v>
      </c>
      <c r="K36" s="277"/>
      <c r="L36" s="278"/>
      <c r="M36" s="279">
        <f t="shared" ref="M36:M68" si="6">J36*$C$95</f>
        <v>78.790094193363316</v>
      </c>
      <c r="N36" s="509"/>
      <c r="O36" s="547"/>
      <c r="P36" s="509"/>
      <c r="Q36" s="495"/>
      <c r="S36" s="4"/>
      <c r="T36" s="4"/>
    </row>
    <row r="37" spans="1:20" x14ac:dyDescent="0.3">
      <c r="A37" s="317"/>
      <c r="B37" s="280" t="s">
        <v>159</v>
      </c>
      <c r="C37" s="282" t="s">
        <v>47</v>
      </c>
      <c r="D37" s="283"/>
      <c r="E37" s="283">
        <v>23</v>
      </c>
      <c r="F37" s="281" t="s">
        <v>150</v>
      </c>
      <c r="G37" s="276">
        <v>45108</v>
      </c>
      <c r="H37" s="284">
        <v>45291</v>
      </c>
      <c r="I37" s="531"/>
      <c r="J37" s="285">
        <v>6.8</v>
      </c>
      <c r="K37" s="277"/>
      <c r="L37" s="286"/>
      <c r="M37" s="287">
        <f t="shared" si="6"/>
        <v>51.025965763321004</v>
      </c>
      <c r="N37" s="512"/>
      <c r="O37" s="548"/>
      <c r="P37" s="512"/>
      <c r="Q37" s="498"/>
      <c r="S37" s="4"/>
      <c r="T37" s="4"/>
    </row>
    <row r="38" spans="1:20" x14ac:dyDescent="0.3">
      <c r="A38" s="333"/>
      <c r="B38" s="186"/>
      <c r="C38" s="188" t="s">
        <v>48</v>
      </c>
      <c r="D38" s="65">
        <v>1</v>
      </c>
      <c r="E38" s="65">
        <v>24</v>
      </c>
      <c r="F38" s="187" t="s">
        <v>263</v>
      </c>
      <c r="G38" s="189">
        <v>44927</v>
      </c>
      <c r="H38" s="189">
        <v>45291</v>
      </c>
      <c r="I38" s="212">
        <v>1</v>
      </c>
      <c r="J38" s="103">
        <v>57.804000000000002</v>
      </c>
      <c r="K38" s="103">
        <f t="shared" ref="K38:K40" si="7">J38</f>
        <v>57.804000000000002</v>
      </c>
      <c r="L38" s="103">
        <f>J38</f>
        <v>57.804000000000002</v>
      </c>
      <c r="M38" s="118">
        <f t="shared" si="6"/>
        <v>433.75072426220703</v>
      </c>
      <c r="N38" s="190">
        <f>$C$94*I38</f>
        <v>65.955102040816328</v>
      </c>
      <c r="O38" s="414">
        <v>0</v>
      </c>
      <c r="P38" s="190">
        <f t="shared" si="2"/>
        <v>0</v>
      </c>
      <c r="Q38" s="334">
        <f t="shared" ref="Q38:Q40" si="8">M38+N38+P38</f>
        <v>499.70582630302334</v>
      </c>
      <c r="S38" s="4"/>
      <c r="T38" s="4"/>
    </row>
    <row r="39" spans="1:20" x14ac:dyDescent="0.3">
      <c r="A39" s="333"/>
      <c r="B39" s="186"/>
      <c r="C39" s="188" t="s">
        <v>49</v>
      </c>
      <c r="D39" s="65">
        <v>1</v>
      </c>
      <c r="E39" s="65">
        <v>25</v>
      </c>
      <c r="F39" s="187" t="s">
        <v>23</v>
      </c>
      <c r="G39" s="189">
        <v>44927</v>
      </c>
      <c r="H39" s="189">
        <v>45291</v>
      </c>
      <c r="I39" s="212">
        <v>1</v>
      </c>
      <c r="J39" s="103">
        <v>30.667000000000002</v>
      </c>
      <c r="K39" s="103">
        <f t="shared" si="7"/>
        <v>30.667000000000002</v>
      </c>
      <c r="L39" s="103">
        <f>J39</f>
        <v>30.667000000000002</v>
      </c>
      <c r="M39" s="118">
        <f t="shared" si="6"/>
        <v>230.11960177408315</v>
      </c>
      <c r="N39" s="190">
        <f>$C$94*I39</f>
        <v>65.955102040816328</v>
      </c>
      <c r="O39" s="414">
        <v>0</v>
      </c>
      <c r="P39" s="190">
        <f t="shared" si="2"/>
        <v>0</v>
      </c>
      <c r="Q39" s="334">
        <f t="shared" si="8"/>
        <v>296.07470381489946</v>
      </c>
      <c r="S39" s="4"/>
      <c r="T39" s="4"/>
    </row>
    <row r="40" spans="1:20" x14ac:dyDescent="0.3">
      <c r="A40" s="333"/>
      <c r="B40" s="186"/>
      <c r="C40" s="188" t="s">
        <v>50</v>
      </c>
      <c r="D40" s="65">
        <v>1</v>
      </c>
      <c r="E40" s="65">
        <v>26</v>
      </c>
      <c r="F40" s="187" t="s">
        <v>24</v>
      </c>
      <c r="G40" s="189">
        <v>44927</v>
      </c>
      <c r="H40" s="189">
        <v>45291</v>
      </c>
      <c r="I40" s="212">
        <v>1</v>
      </c>
      <c r="J40" s="103">
        <v>20.053000000000001</v>
      </c>
      <c r="K40" s="103">
        <f t="shared" si="7"/>
        <v>20.053000000000001</v>
      </c>
      <c r="L40" s="103">
        <f>J40</f>
        <v>20.053000000000001</v>
      </c>
      <c r="M40" s="118">
        <f t="shared" si="6"/>
        <v>150.47407227233475</v>
      </c>
      <c r="N40" s="190">
        <f>$C$94*I40</f>
        <v>65.955102040816328</v>
      </c>
      <c r="O40" s="414">
        <v>0</v>
      </c>
      <c r="P40" s="190">
        <f t="shared" si="2"/>
        <v>0</v>
      </c>
      <c r="Q40" s="334">
        <f t="shared" si="8"/>
        <v>216.42917431315107</v>
      </c>
      <c r="S40" s="4"/>
      <c r="T40" s="4"/>
    </row>
    <row r="41" spans="1:20" ht="28.8" x14ac:dyDescent="0.3">
      <c r="A41" s="315">
        <v>17</v>
      </c>
      <c r="B41" s="288" t="s">
        <v>219</v>
      </c>
      <c r="C41" s="290" t="s">
        <v>51</v>
      </c>
      <c r="D41" s="291">
        <v>1</v>
      </c>
      <c r="E41" s="291">
        <v>27</v>
      </c>
      <c r="F41" s="289" t="s">
        <v>11</v>
      </c>
      <c r="G41" s="292">
        <v>44927</v>
      </c>
      <c r="H41" s="292">
        <v>45291</v>
      </c>
      <c r="I41" s="532">
        <v>1</v>
      </c>
      <c r="J41" s="293">
        <f>((p5a6*3)-J43)/2</f>
        <v>44.742000000000012</v>
      </c>
      <c r="K41" s="294"/>
      <c r="L41" s="295"/>
      <c r="M41" s="296">
        <f t="shared" si="6"/>
        <v>335.73584708566312</v>
      </c>
      <c r="N41" s="513">
        <f>$C$94*I41</f>
        <v>65.955102040816328</v>
      </c>
      <c r="O41" s="549">
        <v>1</v>
      </c>
      <c r="P41" s="513">
        <f t="shared" si="2"/>
        <v>13.504958638785569</v>
      </c>
      <c r="Q41" s="499">
        <f>M41+M42+M43+N41+P41</f>
        <v>750.93175485092809</v>
      </c>
      <c r="S41" s="4" t="s">
        <v>289</v>
      </c>
      <c r="T41" s="4"/>
    </row>
    <row r="42" spans="1:20" x14ac:dyDescent="0.3">
      <c r="A42" s="319"/>
      <c r="B42" s="297" t="s">
        <v>220</v>
      </c>
      <c r="C42" s="299" t="s">
        <v>51</v>
      </c>
      <c r="D42" s="300"/>
      <c r="E42" s="300">
        <v>27</v>
      </c>
      <c r="F42" s="298" t="s">
        <v>11</v>
      </c>
      <c r="G42" s="301">
        <v>44927</v>
      </c>
      <c r="H42" s="301">
        <v>45291</v>
      </c>
      <c r="I42" s="533"/>
      <c r="J42" s="302">
        <f>((p5a6*3)-J43)/2</f>
        <v>44.742000000000012</v>
      </c>
      <c r="K42" s="303"/>
      <c r="L42" s="304"/>
      <c r="M42" s="305">
        <f t="shared" si="6"/>
        <v>335.73584708566312</v>
      </c>
      <c r="N42" s="514"/>
      <c r="O42" s="550"/>
      <c r="P42" s="514"/>
      <c r="Q42" s="500"/>
      <c r="S42" s="4" t="s">
        <v>173</v>
      </c>
      <c r="T42" s="4"/>
    </row>
    <row r="43" spans="1:20" x14ac:dyDescent="0.3">
      <c r="A43" s="317"/>
      <c r="B43" s="306" t="s">
        <v>218</v>
      </c>
      <c r="C43" s="308" t="s">
        <v>51</v>
      </c>
      <c r="D43" s="309"/>
      <c r="E43" s="309">
        <v>27</v>
      </c>
      <c r="F43" s="307" t="s">
        <v>11</v>
      </c>
      <c r="G43" s="310">
        <v>44927</v>
      </c>
      <c r="H43" s="310">
        <v>45291</v>
      </c>
      <c r="I43" s="534"/>
      <c r="J43" s="311">
        <v>0</v>
      </c>
      <c r="K43" s="311">
        <f>J43</f>
        <v>0</v>
      </c>
      <c r="L43" s="312"/>
      <c r="M43" s="313">
        <f t="shared" si="6"/>
        <v>0</v>
      </c>
      <c r="N43" s="515"/>
      <c r="O43" s="551"/>
      <c r="P43" s="515"/>
      <c r="Q43" s="501"/>
      <c r="S43" s="4" t="s">
        <v>290</v>
      </c>
      <c r="T43" s="4"/>
    </row>
    <row r="44" spans="1:20" x14ac:dyDescent="0.3">
      <c r="A44" s="333"/>
      <c r="B44" s="186"/>
      <c r="C44" s="188" t="s">
        <v>52</v>
      </c>
      <c r="D44" s="65">
        <v>1</v>
      </c>
      <c r="E44" s="65">
        <v>28</v>
      </c>
      <c r="F44" s="187" t="s">
        <v>277</v>
      </c>
      <c r="G44" s="189">
        <v>44927</v>
      </c>
      <c r="H44" s="189">
        <v>45291</v>
      </c>
      <c r="I44" s="212">
        <v>1</v>
      </c>
      <c r="J44" s="103">
        <v>24.324999999999999</v>
      </c>
      <c r="K44" s="103">
        <f t="shared" ref="K44:K68" si="9">J44</f>
        <v>24.324999999999999</v>
      </c>
      <c r="L44" s="103">
        <f>J44</f>
        <v>24.324999999999999</v>
      </c>
      <c r="M44" s="118">
        <f t="shared" si="6"/>
        <v>182.5303848812917</v>
      </c>
      <c r="N44" s="190">
        <f t="shared" ref="N44:N52" si="10">$C$94*I44</f>
        <v>65.955102040816328</v>
      </c>
      <c r="O44" s="414">
        <v>1</v>
      </c>
      <c r="P44" s="190">
        <f t="shared" si="2"/>
        <v>13.504958638785569</v>
      </c>
      <c r="Q44" s="334">
        <f t="shared" ref="Q44:Q46" si="11">M44+N44+P44</f>
        <v>261.99044556089359</v>
      </c>
      <c r="S44" s="4"/>
      <c r="T44" s="4"/>
    </row>
    <row r="45" spans="1:20" x14ac:dyDescent="0.3">
      <c r="A45" s="333"/>
      <c r="B45" s="186"/>
      <c r="C45" s="188" t="s">
        <v>53</v>
      </c>
      <c r="D45" s="65">
        <v>1</v>
      </c>
      <c r="E45" s="65">
        <v>29</v>
      </c>
      <c r="F45" s="187" t="s">
        <v>276</v>
      </c>
      <c r="G45" s="189">
        <v>44927</v>
      </c>
      <c r="H45" s="189">
        <v>45291</v>
      </c>
      <c r="I45" s="212">
        <v>1</v>
      </c>
      <c r="J45" s="103">
        <v>26.884</v>
      </c>
      <c r="K45" s="103">
        <f t="shared" si="9"/>
        <v>26.884</v>
      </c>
      <c r="L45" s="103">
        <f>J45</f>
        <v>26.884</v>
      </c>
      <c r="M45" s="118">
        <f t="shared" si="6"/>
        <v>201.73265640898853</v>
      </c>
      <c r="N45" s="190">
        <f t="shared" si="10"/>
        <v>65.955102040816328</v>
      </c>
      <c r="O45" s="414">
        <v>1</v>
      </c>
      <c r="P45" s="190">
        <f t="shared" si="2"/>
        <v>13.504958638785569</v>
      </c>
      <c r="Q45" s="334">
        <f t="shared" si="11"/>
        <v>281.19271708859043</v>
      </c>
      <c r="S45" s="4"/>
      <c r="T45" s="4"/>
    </row>
    <row r="46" spans="1:20" x14ac:dyDescent="0.3">
      <c r="A46" s="333"/>
      <c r="B46" s="186"/>
      <c r="C46" s="188" t="s">
        <v>54</v>
      </c>
      <c r="D46" s="65">
        <v>1</v>
      </c>
      <c r="E46" s="65">
        <v>30</v>
      </c>
      <c r="F46" s="187" t="s">
        <v>263</v>
      </c>
      <c r="G46" s="189">
        <v>44927</v>
      </c>
      <c r="H46" s="189">
        <v>45291</v>
      </c>
      <c r="I46" s="212">
        <v>1</v>
      </c>
      <c r="J46" s="103">
        <v>40.037999999999997</v>
      </c>
      <c r="K46" s="103">
        <f t="shared" si="9"/>
        <v>40.037999999999997</v>
      </c>
      <c r="L46" s="103">
        <f>J46</f>
        <v>40.037999999999997</v>
      </c>
      <c r="M46" s="118">
        <f t="shared" si="6"/>
        <v>300.4378848870362</v>
      </c>
      <c r="N46" s="190">
        <f t="shared" si="10"/>
        <v>65.955102040816328</v>
      </c>
      <c r="O46" s="414">
        <v>1</v>
      </c>
      <c r="P46" s="190">
        <f t="shared" si="2"/>
        <v>13.504958638785569</v>
      </c>
      <c r="Q46" s="334">
        <f t="shared" si="11"/>
        <v>379.8979455666381</v>
      </c>
      <c r="S46" s="4"/>
      <c r="T46" s="4"/>
    </row>
    <row r="47" spans="1:20" x14ac:dyDescent="0.3">
      <c r="A47" s="315">
        <v>18</v>
      </c>
      <c r="B47" s="423" t="s">
        <v>273</v>
      </c>
      <c r="C47" s="424" t="s">
        <v>55</v>
      </c>
      <c r="D47" s="425">
        <v>1</v>
      </c>
      <c r="E47" s="425">
        <v>31</v>
      </c>
      <c r="F47" s="426" t="s">
        <v>25</v>
      </c>
      <c r="G47" s="427">
        <v>44927</v>
      </c>
      <c r="H47" s="427">
        <v>45000</v>
      </c>
      <c r="I47" s="428">
        <f>SUM(E136:E137)+(D138*15)</f>
        <v>0.21870967741935482</v>
      </c>
      <c r="J47" s="429">
        <f>p5a6*1.5*I47</f>
        <v>9.7855083870967761</v>
      </c>
      <c r="K47" s="429"/>
      <c r="L47" s="541"/>
      <c r="M47" s="430">
        <f t="shared" si="6"/>
        <v>73.428678814219211</v>
      </c>
      <c r="N47" s="439">
        <f t="shared" si="10"/>
        <v>14.42501909150757</v>
      </c>
      <c r="O47" s="443">
        <f>I47</f>
        <v>0.21870967741935482</v>
      </c>
      <c r="P47" s="439">
        <f>$C$84*O47</f>
        <v>2.9536651474505211</v>
      </c>
      <c r="Q47" s="441">
        <f>M47+N47+P47</f>
        <v>90.807363053177298</v>
      </c>
      <c r="S47" s="4" t="s">
        <v>291</v>
      </c>
      <c r="T47" s="4"/>
    </row>
    <row r="48" spans="1:20" x14ac:dyDescent="0.3">
      <c r="A48" s="317"/>
      <c r="B48" s="431" t="s">
        <v>274</v>
      </c>
      <c r="C48" s="432" t="s">
        <v>55</v>
      </c>
      <c r="D48" s="433"/>
      <c r="E48" s="433">
        <v>31</v>
      </c>
      <c r="F48" s="434" t="s">
        <v>188</v>
      </c>
      <c r="G48" s="435">
        <v>45001</v>
      </c>
      <c r="H48" s="435">
        <v>45291</v>
      </c>
      <c r="I48" s="436">
        <f>SUM(E139:E147)+(D138*16)</f>
        <v>0.78129032258064512</v>
      </c>
      <c r="J48" s="437">
        <f>p5a6*3*I48</f>
        <v>69.912983225806471</v>
      </c>
      <c r="K48" s="437"/>
      <c r="L48" s="542"/>
      <c r="M48" s="438">
        <f t="shared" si="6"/>
        <v>524.61433654288783</v>
      </c>
      <c r="N48" s="440">
        <f t="shared" si="10"/>
        <v>51.530082949308756</v>
      </c>
      <c r="O48" s="444">
        <f>I48</f>
        <v>0.78129032258064512</v>
      </c>
      <c r="P48" s="440">
        <f t="shared" si="2"/>
        <v>10.551293491335047</v>
      </c>
      <c r="Q48" s="442">
        <f>M48+N48+P48</f>
        <v>586.69571298353162</v>
      </c>
      <c r="S48" s="4" t="s">
        <v>292</v>
      </c>
      <c r="T48" s="4"/>
    </row>
    <row r="49" spans="1:20" x14ac:dyDescent="0.3">
      <c r="A49" s="333"/>
      <c r="B49" s="186"/>
      <c r="C49" s="188" t="s">
        <v>146</v>
      </c>
      <c r="D49" s="65">
        <v>1</v>
      </c>
      <c r="E49" s="65">
        <v>32</v>
      </c>
      <c r="F49" s="187" t="s">
        <v>23</v>
      </c>
      <c r="G49" s="189">
        <v>44927</v>
      </c>
      <c r="H49" s="189">
        <v>45291</v>
      </c>
      <c r="I49" s="212">
        <v>1</v>
      </c>
      <c r="J49" s="103">
        <v>46.435000000000002</v>
      </c>
      <c r="K49" s="103">
        <f t="shared" si="9"/>
        <v>46.435000000000002</v>
      </c>
      <c r="L49" s="103">
        <f>J49</f>
        <v>46.435000000000002</v>
      </c>
      <c r="M49" s="118">
        <f t="shared" si="6"/>
        <v>348.43981179703104</v>
      </c>
      <c r="N49" s="190">
        <f t="shared" si="10"/>
        <v>65.955102040816328</v>
      </c>
      <c r="O49" s="414">
        <v>1</v>
      </c>
      <c r="P49" s="190">
        <f t="shared" si="2"/>
        <v>13.504958638785569</v>
      </c>
      <c r="Q49" s="334">
        <f t="shared" ref="Q49:Q51" si="12">M49+N49+P49</f>
        <v>427.89987247663294</v>
      </c>
      <c r="S49" s="4"/>
      <c r="T49" s="4"/>
    </row>
    <row r="50" spans="1:20" x14ac:dyDescent="0.3">
      <c r="A50" s="333"/>
      <c r="B50" s="186"/>
      <c r="C50" s="188" t="s">
        <v>147</v>
      </c>
      <c r="D50" s="65">
        <v>1</v>
      </c>
      <c r="E50" s="65">
        <v>33</v>
      </c>
      <c r="F50" s="187" t="s">
        <v>10</v>
      </c>
      <c r="G50" s="189">
        <v>44927</v>
      </c>
      <c r="H50" s="189">
        <v>45291</v>
      </c>
      <c r="I50" s="212">
        <v>1</v>
      </c>
      <c r="J50" s="103">
        <v>81.766000000000005</v>
      </c>
      <c r="K50" s="103">
        <f t="shared" si="9"/>
        <v>81.766000000000005</v>
      </c>
      <c r="L50" s="103">
        <f>J50</f>
        <v>81.766000000000005</v>
      </c>
      <c r="M50" s="118">
        <f t="shared" si="6"/>
        <v>613.55722302995673</v>
      </c>
      <c r="N50" s="190">
        <f t="shared" si="10"/>
        <v>65.955102040816328</v>
      </c>
      <c r="O50" s="414">
        <v>1</v>
      </c>
      <c r="P50" s="190">
        <f t="shared" si="2"/>
        <v>13.504958638785569</v>
      </c>
      <c r="Q50" s="334">
        <f t="shared" si="12"/>
        <v>693.01728370955857</v>
      </c>
      <c r="S50" s="4"/>
      <c r="T50" s="4"/>
    </row>
    <row r="51" spans="1:20" x14ac:dyDescent="0.3">
      <c r="A51" s="333"/>
      <c r="B51" s="186"/>
      <c r="C51" s="188" t="s">
        <v>56</v>
      </c>
      <c r="D51" s="65">
        <v>1</v>
      </c>
      <c r="E51" s="65">
        <v>34</v>
      </c>
      <c r="F51" s="187" t="s">
        <v>86</v>
      </c>
      <c r="G51" s="189">
        <v>44927</v>
      </c>
      <c r="H51" s="189">
        <v>45291</v>
      </c>
      <c r="I51" s="212">
        <v>1</v>
      </c>
      <c r="J51" s="103">
        <v>27.814</v>
      </c>
      <c r="K51" s="103">
        <f t="shared" si="9"/>
        <v>27.814</v>
      </c>
      <c r="L51" s="103">
        <f>J51</f>
        <v>27.814</v>
      </c>
      <c r="M51" s="118">
        <f t="shared" si="6"/>
        <v>208.71120760897213</v>
      </c>
      <c r="N51" s="190">
        <f t="shared" si="10"/>
        <v>65.955102040816328</v>
      </c>
      <c r="O51" s="414">
        <v>1</v>
      </c>
      <c r="P51" s="190">
        <f t="shared" si="2"/>
        <v>13.504958638785569</v>
      </c>
      <c r="Q51" s="334">
        <f t="shared" si="12"/>
        <v>288.17126828857403</v>
      </c>
      <c r="S51" s="4"/>
      <c r="T51" s="4"/>
    </row>
    <row r="52" spans="1:20" x14ac:dyDescent="0.3">
      <c r="A52" s="315"/>
      <c r="B52" s="156" t="s">
        <v>221</v>
      </c>
      <c r="C52" s="158" t="s">
        <v>57</v>
      </c>
      <c r="D52" s="58">
        <v>1</v>
      </c>
      <c r="E52" s="58">
        <v>35</v>
      </c>
      <c r="F52" s="157" t="s">
        <v>26</v>
      </c>
      <c r="G52" s="159">
        <v>44927</v>
      </c>
      <c r="H52" s="159">
        <v>45291</v>
      </c>
      <c r="I52" s="535">
        <v>1</v>
      </c>
      <c r="J52" s="97">
        <v>6.35</v>
      </c>
      <c r="K52" s="97">
        <f t="shared" si="9"/>
        <v>6.35</v>
      </c>
      <c r="L52" s="539">
        <f>SUM(J52:J53)</f>
        <v>29.531999999999996</v>
      </c>
      <c r="M52" s="118">
        <f t="shared" si="6"/>
        <v>47.64924744074829</v>
      </c>
      <c r="N52" s="537">
        <f t="shared" si="10"/>
        <v>65.955102040816328</v>
      </c>
      <c r="O52" s="552">
        <v>1</v>
      </c>
      <c r="P52" s="537">
        <f t="shared" si="2"/>
        <v>13.504958638785569</v>
      </c>
      <c r="Q52" s="525">
        <f>M52+M53+N52+P52</f>
        <v>301.06282846230721</v>
      </c>
      <c r="S52" s="4"/>
      <c r="T52" s="4"/>
    </row>
    <row r="53" spans="1:20" x14ac:dyDescent="0.3">
      <c r="A53" s="317"/>
      <c r="B53" s="191" t="s">
        <v>217</v>
      </c>
      <c r="C53" s="193" t="s">
        <v>57</v>
      </c>
      <c r="D53" s="60"/>
      <c r="E53" s="60">
        <v>35</v>
      </c>
      <c r="F53" s="192" t="s">
        <v>26</v>
      </c>
      <c r="G53" s="194">
        <v>44927</v>
      </c>
      <c r="H53" s="194">
        <v>45291</v>
      </c>
      <c r="I53" s="536"/>
      <c r="J53" s="104">
        <v>23.181999999999999</v>
      </c>
      <c r="K53" s="104">
        <f t="shared" si="9"/>
        <v>23.181999999999999</v>
      </c>
      <c r="L53" s="540"/>
      <c r="M53" s="126">
        <f t="shared" si="6"/>
        <v>173.95352034195699</v>
      </c>
      <c r="N53" s="538"/>
      <c r="O53" s="553"/>
      <c r="P53" s="538"/>
      <c r="Q53" s="526"/>
      <c r="S53" s="4"/>
      <c r="T53" s="4"/>
    </row>
    <row r="54" spans="1:20" x14ac:dyDescent="0.3">
      <c r="A54" s="333"/>
      <c r="B54" s="186"/>
      <c r="C54" s="188" t="s">
        <v>58</v>
      </c>
      <c r="D54" s="65">
        <v>1</v>
      </c>
      <c r="E54" s="65">
        <v>36</v>
      </c>
      <c r="F54" s="187" t="s">
        <v>276</v>
      </c>
      <c r="G54" s="189">
        <v>44927</v>
      </c>
      <c r="H54" s="189">
        <v>45291</v>
      </c>
      <c r="I54" s="212">
        <v>1</v>
      </c>
      <c r="J54" s="103">
        <v>13.178000000000001</v>
      </c>
      <c r="K54" s="103">
        <f t="shared" si="9"/>
        <v>13.178000000000001</v>
      </c>
      <c r="L54" s="103">
        <f t="shared" ref="L54:L68" si="13">J54</f>
        <v>13.178000000000001</v>
      </c>
      <c r="M54" s="118">
        <f t="shared" si="6"/>
        <v>98.885320121918284</v>
      </c>
      <c r="N54" s="190">
        <f t="shared" ref="N54:N68" si="14">$C$94*I54</f>
        <v>65.955102040816328</v>
      </c>
      <c r="O54" s="414">
        <v>1</v>
      </c>
      <c r="P54" s="190">
        <f t="shared" si="2"/>
        <v>13.504958638785569</v>
      </c>
      <c r="Q54" s="334">
        <f t="shared" ref="Q54:Q67" si="15">M54+N54+P54</f>
        <v>178.34538080152021</v>
      </c>
      <c r="S54" s="4"/>
      <c r="T54" s="4"/>
    </row>
    <row r="55" spans="1:20" x14ac:dyDescent="0.3">
      <c r="A55" s="333"/>
      <c r="B55" s="186"/>
      <c r="C55" s="188" t="s">
        <v>59</v>
      </c>
      <c r="D55" s="65">
        <v>1</v>
      </c>
      <c r="E55" s="65">
        <v>37</v>
      </c>
      <c r="F55" s="187" t="s">
        <v>27</v>
      </c>
      <c r="G55" s="189">
        <v>44927</v>
      </c>
      <c r="H55" s="189">
        <v>45291</v>
      </c>
      <c r="I55" s="212">
        <v>1</v>
      </c>
      <c r="J55" s="103">
        <v>1.554</v>
      </c>
      <c r="K55" s="103">
        <f t="shared" si="9"/>
        <v>1.554</v>
      </c>
      <c r="L55" s="103">
        <f t="shared" si="13"/>
        <v>1.554</v>
      </c>
      <c r="M55" s="118">
        <f t="shared" si="6"/>
        <v>11.660933940617772</v>
      </c>
      <c r="N55" s="190">
        <f t="shared" si="14"/>
        <v>65.955102040816328</v>
      </c>
      <c r="O55" s="414">
        <v>1</v>
      </c>
      <c r="P55" s="190">
        <f t="shared" si="2"/>
        <v>13.504958638785569</v>
      </c>
      <c r="Q55" s="334">
        <f t="shared" si="15"/>
        <v>91.120994620219662</v>
      </c>
      <c r="S55" s="4"/>
      <c r="T55" s="4"/>
    </row>
    <row r="56" spans="1:20" x14ac:dyDescent="0.3">
      <c r="A56" s="333"/>
      <c r="B56" s="186"/>
      <c r="C56" s="188" t="s">
        <v>60</v>
      </c>
      <c r="D56" s="65">
        <v>1</v>
      </c>
      <c r="E56" s="65">
        <v>38</v>
      </c>
      <c r="F56" s="187" t="s">
        <v>10</v>
      </c>
      <c r="G56" s="189">
        <v>44927</v>
      </c>
      <c r="H56" s="189">
        <v>45291</v>
      </c>
      <c r="I56" s="212">
        <v>1</v>
      </c>
      <c r="J56" s="103">
        <v>19.686</v>
      </c>
      <c r="K56" s="103">
        <f t="shared" si="9"/>
        <v>19.686</v>
      </c>
      <c r="L56" s="103">
        <f t="shared" si="13"/>
        <v>19.686</v>
      </c>
      <c r="M56" s="118">
        <f t="shared" si="6"/>
        <v>147.72017088481431</v>
      </c>
      <c r="N56" s="190">
        <f t="shared" si="14"/>
        <v>65.955102040816328</v>
      </c>
      <c r="O56" s="414">
        <v>1</v>
      </c>
      <c r="P56" s="190">
        <f t="shared" si="2"/>
        <v>13.504958638785569</v>
      </c>
      <c r="Q56" s="334">
        <f t="shared" si="15"/>
        <v>227.1802315644162</v>
      </c>
      <c r="S56" s="4"/>
      <c r="T56" s="4"/>
    </row>
    <row r="57" spans="1:20" x14ac:dyDescent="0.3">
      <c r="A57" s="333"/>
      <c r="B57" s="186"/>
      <c r="C57" s="188" t="s">
        <v>61</v>
      </c>
      <c r="D57" s="65">
        <v>1</v>
      </c>
      <c r="E57" s="65">
        <v>39</v>
      </c>
      <c r="F57" s="187" t="s">
        <v>86</v>
      </c>
      <c r="G57" s="189">
        <v>44927</v>
      </c>
      <c r="H57" s="189">
        <v>45291</v>
      </c>
      <c r="I57" s="212">
        <v>1</v>
      </c>
      <c r="J57" s="103">
        <v>24.465</v>
      </c>
      <c r="K57" s="103">
        <f t="shared" si="9"/>
        <v>24.465</v>
      </c>
      <c r="L57" s="103">
        <f t="shared" si="13"/>
        <v>24.465</v>
      </c>
      <c r="M57" s="118">
        <f t="shared" si="6"/>
        <v>183.58091947053654</v>
      </c>
      <c r="N57" s="190">
        <f t="shared" si="14"/>
        <v>65.955102040816328</v>
      </c>
      <c r="O57" s="414">
        <v>1</v>
      </c>
      <c r="P57" s="190">
        <f t="shared" si="2"/>
        <v>13.504958638785569</v>
      </c>
      <c r="Q57" s="334">
        <f t="shared" si="15"/>
        <v>263.04098015013847</v>
      </c>
      <c r="S57" s="4"/>
      <c r="T57" s="4"/>
    </row>
    <row r="58" spans="1:20" x14ac:dyDescent="0.3">
      <c r="A58" s="333"/>
      <c r="B58" s="186"/>
      <c r="C58" s="188" t="s">
        <v>62</v>
      </c>
      <c r="D58" s="65">
        <v>1</v>
      </c>
      <c r="E58" s="65">
        <v>40</v>
      </c>
      <c r="F58" s="187" t="s">
        <v>278</v>
      </c>
      <c r="G58" s="189">
        <v>44927</v>
      </c>
      <c r="H58" s="189">
        <v>45291</v>
      </c>
      <c r="I58" s="212">
        <v>1</v>
      </c>
      <c r="J58" s="103">
        <v>49.085000000000001</v>
      </c>
      <c r="K58" s="103">
        <f t="shared" si="9"/>
        <v>49.085000000000001</v>
      </c>
      <c r="L58" s="103">
        <f t="shared" si="13"/>
        <v>49.085000000000001</v>
      </c>
      <c r="M58" s="118">
        <f t="shared" si="6"/>
        <v>368.32493080773702</v>
      </c>
      <c r="N58" s="190">
        <f t="shared" si="14"/>
        <v>65.955102040816328</v>
      </c>
      <c r="O58" s="414">
        <v>1</v>
      </c>
      <c r="P58" s="190">
        <f t="shared" si="2"/>
        <v>13.504958638785569</v>
      </c>
      <c r="Q58" s="334">
        <f t="shared" si="15"/>
        <v>447.78499148733891</v>
      </c>
      <c r="S58" s="4"/>
      <c r="T58" s="4"/>
    </row>
    <row r="59" spans="1:20" x14ac:dyDescent="0.3">
      <c r="A59" s="333"/>
      <c r="B59" s="186"/>
      <c r="C59" s="188" t="s">
        <v>63</v>
      </c>
      <c r="D59" s="65">
        <v>1</v>
      </c>
      <c r="E59" s="65">
        <v>41</v>
      </c>
      <c r="F59" s="187" t="s">
        <v>11</v>
      </c>
      <c r="G59" s="189">
        <v>44927</v>
      </c>
      <c r="H59" s="189">
        <v>45291</v>
      </c>
      <c r="I59" s="212">
        <v>1</v>
      </c>
      <c r="J59" s="103">
        <v>81.888000000000005</v>
      </c>
      <c r="K59" s="103">
        <f t="shared" si="9"/>
        <v>81.888000000000005</v>
      </c>
      <c r="L59" s="103">
        <f t="shared" si="13"/>
        <v>81.888000000000005</v>
      </c>
      <c r="M59" s="118">
        <f t="shared" si="6"/>
        <v>614.47268888629867</v>
      </c>
      <c r="N59" s="190">
        <f t="shared" si="14"/>
        <v>65.955102040816328</v>
      </c>
      <c r="O59" s="414">
        <v>1</v>
      </c>
      <c r="P59" s="190">
        <f t="shared" si="2"/>
        <v>13.504958638785569</v>
      </c>
      <c r="Q59" s="334">
        <f t="shared" si="15"/>
        <v>693.93274956590051</v>
      </c>
      <c r="S59" s="4"/>
      <c r="T59" s="4"/>
    </row>
    <row r="60" spans="1:20" x14ac:dyDescent="0.3">
      <c r="A60" s="333"/>
      <c r="B60" s="186"/>
      <c r="C60" s="188" t="s">
        <v>64</v>
      </c>
      <c r="D60" s="65">
        <v>1</v>
      </c>
      <c r="E60" s="65">
        <v>42</v>
      </c>
      <c r="F60" s="187" t="s">
        <v>23</v>
      </c>
      <c r="G60" s="189">
        <v>44927</v>
      </c>
      <c r="H60" s="189">
        <v>45291</v>
      </c>
      <c r="I60" s="212">
        <v>1</v>
      </c>
      <c r="J60" s="103">
        <v>24.515000000000001</v>
      </c>
      <c r="K60" s="103">
        <f t="shared" si="9"/>
        <v>24.515000000000001</v>
      </c>
      <c r="L60" s="103">
        <f t="shared" si="13"/>
        <v>24.515000000000001</v>
      </c>
      <c r="M60" s="118">
        <f t="shared" si="6"/>
        <v>183.95611039526685</v>
      </c>
      <c r="N60" s="190">
        <f t="shared" si="14"/>
        <v>65.955102040816328</v>
      </c>
      <c r="O60" s="414">
        <v>1</v>
      </c>
      <c r="P60" s="190">
        <f t="shared" si="2"/>
        <v>13.504958638785569</v>
      </c>
      <c r="Q60" s="334">
        <f t="shared" si="15"/>
        <v>263.41617107486877</v>
      </c>
      <c r="S60" s="4"/>
      <c r="T60" s="4"/>
    </row>
    <row r="61" spans="1:20" x14ac:dyDescent="0.3">
      <c r="A61" s="333"/>
      <c r="B61" s="186"/>
      <c r="C61" s="188" t="s">
        <v>65</v>
      </c>
      <c r="D61" s="65">
        <v>1</v>
      </c>
      <c r="E61" s="65">
        <v>43</v>
      </c>
      <c r="F61" s="187" t="s">
        <v>114</v>
      </c>
      <c r="G61" s="189">
        <v>44927</v>
      </c>
      <c r="H61" s="189">
        <v>45291</v>
      </c>
      <c r="I61" s="212">
        <v>1</v>
      </c>
      <c r="J61" s="103">
        <v>12.936999999999999</v>
      </c>
      <c r="K61" s="103">
        <f t="shared" si="9"/>
        <v>12.936999999999999</v>
      </c>
      <c r="L61" s="103">
        <f t="shared" si="13"/>
        <v>12.936999999999999</v>
      </c>
      <c r="M61" s="118">
        <f t="shared" si="6"/>
        <v>97.076899864718214</v>
      </c>
      <c r="N61" s="190">
        <f t="shared" si="14"/>
        <v>65.955102040816328</v>
      </c>
      <c r="O61" s="414">
        <v>1</v>
      </c>
      <c r="P61" s="190">
        <f t="shared" si="2"/>
        <v>13.504958638785569</v>
      </c>
      <c r="Q61" s="334">
        <f t="shared" si="15"/>
        <v>176.53696054432012</v>
      </c>
      <c r="S61" s="4"/>
      <c r="T61" s="4"/>
    </row>
    <row r="62" spans="1:20" x14ac:dyDescent="0.3">
      <c r="A62" s="333"/>
      <c r="B62" s="186"/>
      <c r="C62" s="188" t="s">
        <v>66</v>
      </c>
      <c r="D62" s="65">
        <v>1</v>
      </c>
      <c r="E62" s="65">
        <v>44</v>
      </c>
      <c r="F62" s="187" t="s">
        <v>28</v>
      </c>
      <c r="G62" s="189">
        <v>44927</v>
      </c>
      <c r="H62" s="189">
        <v>45291</v>
      </c>
      <c r="I62" s="212">
        <v>1</v>
      </c>
      <c r="J62" s="103">
        <v>16.202000000000002</v>
      </c>
      <c r="K62" s="103">
        <f t="shared" si="9"/>
        <v>16.202000000000002</v>
      </c>
      <c r="L62" s="103">
        <f t="shared" si="13"/>
        <v>16.202000000000002</v>
      </c>
      <c r="M62" s="118">
        <f t="shared" si="6"/>
        <v>121.57686724960692</v>
      </c>
      <c r="N62" s="190">
        <f t="shared" si="14"/>
        <v>65.955102040816328</v>
      </c>
      <c r="O62" s="414">
        <v>1</v>
      </c>
      <c r="P62" s="190">
        <f t="shared" si="2"/>
        <v>13.504958638785569</v>
      </c>
      <c r="Q62" s="334">
        <f t="shared" si="15"/>
        <v>201.03692792920884</v>
      </c>
      <c r="S62" s="4"/>
      <c r="T62" s="4"/>
    </row>
    <row r="63" spans="1:20" x14ac:dyDescent="0.3">
      <c r="A63" s="333"/>
      <c r="B63" s="186"/>
      <c r="C63" s="188" t="s">
        <v>148</v>
      </c>
      <c r="D63" s="65">
        <v>1</v>
      </c>
      <c r="E63" s="65">
        <v>45</v>
      </c>
      <c r="F63" s="187" t="s">
        <v>29</v>
      </c>
      <c r="G63" s="189">
        <v>44927</v>
      </c>
      <c r="H63" s="189">
        <v>45291</v>
      </c>
      <c r="I63" s="212">
        <v>1</v>
      </c>
      <c r="J63" s="103">
        <v>28.619</v>
      </c>
      <c r="K63" s="103">
        <f t="shared" si="9"/>
        <v>28.619</v>
      </c>
      <c r="L63" s="103">
        <f t="shared" si="13"/>
        <v>28.619</v>
      </c>
      <c r="M63" s="118">
        <f t="shared" si="6"/>
        <v>214.75178149713</v>
      </c>
      <c r="N63" s="190">
        <f t="shared" si="14"/>
        <v>65.955102040816328</v>
      </c>
      <c r="O63" s="414">
        <v>1</v>
      </c>
      <c r="P63" s="190">
        <f t="shared" si="2"/>
        <v>13.504958638785569</v>
      </c>
      <c r="Q63" s="334">
        <f t="shared" si="15"/>
        <v>294.21184217673192</v>
      </c>
      <c r="S63" s="4"/>
      <c r="T63" s="4"/>
    </row>
    <row r="64" spans="1:20" x14ac:dyDescent="0.3">
      <c r="A64" s="333"/>
      <c r="B64" s="186"/>
      <c r="C64" s="188" t="s">
        <v>67</v>
      </c>
      <c r="D64" s="65">
        <v>1</v>
      </c>
      <c r="E64" s="65">
        <v>46</v>
      </c>
      <c r="F64" s="187" t="s">
        <v>279</v>
      </c>
      <c r="G64" s="189">
        <v>44927</v>
      </c>
      <c r="H64" s="189">
        <v>45291</v>
      </c>
      <c r="I64" s="212">
        <v>1</v>
      </c>
      <c r="J64" s="103">
        <v>24.257999999999999</v>
      </c>
      <c r="K64" s="103">
        <f t="shared" si="9"/>
        <v>24.257999999999999</v>
      </c>
      <c r="L64" s="103">
        <f t="shared" si="13"/>
        <v>24.257999999999999</v>
      </c>
      <c r="M64" s="118">
        <f t="shared" si="6"/>
        <v>182.02762904215308</v>
      </c>
      <c r="N64" s="190">
        <f t="shared" si="14"/>
        <v>65.955102040816328</v>
      </c>
      <c r="O64" s="414">
        <v>1</v>
      </c>
      <c r="P64" s="190">
        <f t="shared" si="2"/>
        <v>13.504958638785569</v>
      </c>
      <c r="Q64" s="334">
        <f t="shared" si="15"/>
        <v>261.48768972175498</v>
      </c>
      <c r="S64" s="4"/>
      <c r="T64" s="4"/>
    </row>
    <row r="65" spans="1:24" x14ac:dyDescent="0.3">
      <c r="A65" s="333"/>
      <c r="B65" s="186"/>
      <c r="C65" s="188" t="s">
        <v>68</v>
      </c>
      <c r="D65" s="65">
        <v>1</v>
      </c>
      <c r="E65" s="65">
        <v>47</v>
      </c>
      <c r="F65" s="187" t="s">
        <v>30</v>
      </c>
      <c r="G65" s="189">
        <v>44927</v>
      </c>
      <c r="H65" s="189">
        <v>45291</v>
      </c>
      <c r="I65" s="212">
        <v>1</v>
      </c>
      <c r="J65" s="103">
        <v>2.8490000000000002</v>
      </c>
      <c r="K65" s="103">
        <f t="shared" si="9"/>
        <v>2.8490000000000002</v>
      </c>
      <c r="L65" s="103">
        <f t="shared" si="13"/>
        <v>2.8490000000000002</v>
      </c>
      <c r="M65" s="118">
        <f t="shared" si="6"/>
        <v>21.378378891132584</v>
      </c>
      <c r="N65" s="190">
        <f t="shared" si="14"/>
        <v>65.955102040816328</v>
      </c>
      <c r="O65" s="414">
        <v>1</v>
      </c>
      <c r="P65" s="190">
        <f t="shared" si="2"/>
        <v>13.504958638785569</v>
      </c>
      <c r="Q65" s="334">
        <f t="shared" si="15"/>
        <v>100.83843957073448</v>
      </c>
      <c r="S65" s="4"/>
      <c r="T65" s="4"/>
    </row>
    <row r="66" spans="1:24" x14ac:dyDescent="0.3">
      <c r="A66" s="333"/>
      <c r="B66" s="186"/>
      <c r="C66" s="188" t="s">
        <v>69</v>
      </c>
      <c r="D66" s="65">
        <v>1</v>
      </c>
      <c r="E66" s="65">
        <v>48</v>
      </c>
      <c r="F66" s="187" t="s">
        <v>280</v>
      </c>
      <c r="G66" s="189">
        <v>44927</v>
      </c>
      <c r="H66" s="189">
        <v>45291</v>
      </c>
      <c r="I66" s="212">
        <v>1</v>
      </c>
      <c r="J66" s="103">
        <v>9.1479999999999997</v>
      </c>
      <c r="K66" s="103">
        <f t="shared" si="9"/>
        <v>9.1479999999999997</v>
      </c>
      <c r="L66" s="103">
        <f t="shared" si="13"/>
        <v>9.1479999999999997</v>
      </c>
      <c r="M66" s="190">
        <f t="shared" si="6"/>
        <v>68.644931588655965</v>
      </c>
      <c r="N66" s="190">
        <f t="shared" si="14"/>
        <v>65.955102040816328</v>
      </c>
      <c r="O66" s="414">
        <v>1</v>
      </c>
      <c r="P66" s="190">
        <f t="shared" si="2"/>
        <v>13.504958638785569</v>
      </c>
      <c r="Q66" s="334">
        <f t="shared" si="15"/>
        <v>148.10499226825789</v>
      </c>
      <c r="S66" s="4"/>
      <c r="T66" s="4"/>
    </row>
    <row r="67" spans="1:24" x14ac:dyDescent="0.3">
      <c r="A67" s="333"/>
      <c r="B67" s="186"/>
      <c r="C67" s="188" t="s">
        <v>149</v>
      </c>
      <c r="D67" s="65">
        <v>1</v>
      </c>
      <c r="E67" s="65">
        <v>49</v>
      </c>
      <c r="F67" s="187" t="s">
        <v>263</v>
      </c>
      <c r="G67" s="189">
        <v>44927</v>
      </c>
      <c r="H67" s="189">
        <v>45291</v>
      </c>
      <c r="I67" s="212">
        <v>1</v>
      </c>
      <c r="J67" s="103">
        <v>19.186</v>
      </c>
      <c r="K67" s="103">
        <f t="shared" ref="K67" si="16">J67</f>
        <v>19.186</v>
      </c>
      <c r="L67" s="103">
        <f t="shared" ref="L67" si="17">J67</f>
        <v>19.186</v>
      </c>
      <c r="M67" s="190">
        <f t="shared" si="6"/>
        <v>143.96826163751129</v>
      </c>
      <c r="N67" s="190">
        <f t="shared" si="14"/>
        <v>65.955102040816328</v>
      </c>
      <c r="O67" s="414">
        <v>1</v>
      </c>
      <c r="P67" s="190">
        <f t="shared" si="2"/>
        <v>13.504958638785569</v>
      </c>
      <c r="Q67" s="334">
        <f t="shared" si="15"/>
        <v>223.42832231711321</v>
      </c>
      <c r="S67" s="4"/>
      <c r="T67" s="4"/>
    </row>
    <row r="68" spans="1:24" ht="15" thickBot="1" x14ac:dyDescent="0.35">
      <c r="A68" s="422">
        <v>19</v>
      </c>
      <c r="B68" s="335"/>
      <c r="C68" s="337">
        <v>9901</v>
      </c>
      <c r="D68" s="337">
        <v>1</v>
      </c>
      <c r="E68" s="337">
        <v>50</v>
      </c>
      <c r="F68" s="336" t="s">
        <v>184</v>
      </c>
      <c r="G68" s="338">
        <v>44927</v>
      </c>
      <c r="H68" s="338">
        <v>45291</v>
      </c>
      <c r="I68" s="339">
        <v>1</v>
      </c>
      <c r="J68" s="340">
        <v>65</v>
      </c>
      <c r="K68" s="340">
        <f t="shared" si="9"/>
        <v>65</v>
      </c>
      <c r="L68" s="340">
        <f t="shared" si="13"/>
        <v>65</v>
      </c>
      <c r="M68" s="341">
        <f t="shared" si="6"/>
        <v>487.748202149392</v>
      </c>
      <c r="N68" s="342">
        <f t="shared" si="14"/>
        <v>65.955102040816328</v>
      </c>
      <c r="O68" s="415"/>
      <c r="P68" s="342">
        <f>M68+N68</f>
        <v>553.70330419020831</v>
      </c>
      <c r="Q68" s="343"/>
      <c r="S68" s="4" t="s">
        <v>293</v>
      </c>
      <c r="T68" s="4"/>
    </row>
    <row r="69" spans="1:24" ht="15" thickTop="1" x14ac:dyDescent="0.3">
      <c r="D69" s="38">
        <f>SUM(D2:D68)</f>
        <v>49</v>
      </c>
      <c r="E69" s="33">
        <f>MAX(E2:E68)</f>
        <v>50</v>
      </c>
      <c r="G69" s="4"/>
      <c r="H69" s="4"/>
      <c r="J69" s="105">
        <f>SUM(J2:J68)</f>
        <v>1722.7495586803518</v>
      </c>
      <c r="K69" s="35">
        <f>SUM(K2:K68)</f>
        <v>1153.6549999999997</v>
      </c>
      <c r="L69" s="35">
        <f>SUM(L2:L68)</f>
        <v>1103.6360000000002</v>
      </c>
      <c r="M69" s="127">
        <f>SUM(M2:M68)</f>
        <v>12927.200000000012</v>
      </c>
      <c r="N69" s="7">
        <f>SUM(N2:N68)</f>
        <v>3231.7999999999988</v>
      </c>
      <c r="O69" s="399">
        <f>SUM(O2:O67)</f>
        <v>41</v>
      </c>
      <c r="P69" s="7"/>
      <c r="Q69" s="75">
        <f>SUM(Q2:Q68)</f>
        <v>16057.870253503712</v>
      </c>
    </row>
    <row r="70" spans="1:24" x14ac:dyDescent="0.3">
      <c r="G70" s="4"/>
      <c r="H70" s="4"/>
    </row>
    <row r="71" spans="1:24" x14ac:dyDescent="0.3">
      <c r="C71" s="56"/>
      <c r="D71" s="38"/>
      <c r="G71" s="4"/>
      <c r="H71" s="4"/>
      <c r="I71" s="99"/>
      <c r="J71" s="24"/>
      <c r="K71" s="73"/>
      <c r="M71" s="125"/>
      <c r="N71" s="59"/>
      <c r="O71" s="417"/>
      <c r="P71" s="59"/>
      <c r="Q71" s="76"/>
      <c r="R71" s="4"/>
    </row>
    <row r="72" spans="1:24" ht="15" thickBot="1" x14ac:dyDescent="0.35">
      <c r="E72" s="2"/>
      <c r="F72" s="33"/>
      <c r="G72" s="2"/>
      <c r="I72"/>
      <c r="J72" s="106"/>
      <c r="L72" s="3"/>
      <c r="M72" s="74"/>
      <c r="N72" s="106"/>
      <c r="O72" s="409"/>
      <c r="P72" s="106"/>
    </row>
    <row r="73" spans="1:24" s="3" customFormat="1" ht="15" thickTop="1" x14ac:dyDescent="0.3">
      <c r="A73" s="353" t="s">
        <v>190</v>
      </c>
      <c r="B73" s="376" t="s">
        <v>294</v>
      </c>
      <c r="C73" s="377">
        <v>16159</v>
      </c>
      <c r="D73" s="378" t="s">
        <v>70</v>
      </c>
      <c r="E73" s="355"/>
      <c r="F73" s="356"/>
      <c r="G73" s="355"/>
      <c r="H73" s="357"/>
      <c r="I73" s="357"/>
      <c r="J73" s="358"/>
      <c r="K73" s="359"/>
      <c r="L73" s="359"/>
      <c r="M73" s="379"/>
      <c r="N73" s="358"/>
      <c r="O73" s="418"/>
      <c r="P73" s="358"/>
      <c r="Q73" s="388"/>
    </row>
    <row r="74" spans="1:24" x14ac:dyDescent="0.3">
      <c r="A74" s="360"/>
      <c r="B74" s="10" t="s">
        <v>88</v>
      </c>
      <c r="C74" s="11">
        <f>MAX(E2:E68)</f>
        <v>50</v>
      </c>
      <c r="D74" s="11" t="s">
        <v>135</v>
      </c>
      <c r="E74" s="43" t="s">
        <v>154</v>
      </c>
      <c r="F74" s="33"/>
      <c r="G74" s="2"/>
      <c r="I74"/>
      <c r="J74" s="106"/>
      <c r="L74" s="3"/>
      <c r="M74" s="74"/>
      <c r="N74" s="106"/>
      <c r="O74" s="409"/>
      <c r="P74" s="106"/>
      <c r="Q74" s="389"/>
    </row>
    <row r="75" spans="1:24" s="3" customFormat="1" ht="15.6" x14ac:dyDescent="0.35">
      <c r="A75" s="360"/>
      <c r="B75" s="10" t="s">
        <v>222</v>
      </c>
      <c r="C75" s="11">
        <f>D69</f>
        <v>49</v>
      </c>
      <c r="D75" s="11" t="s">
        <v>135</v>
      </c>
      <c r="E75" s="43" t="s">
        <v>296</v>
      </c>
      <c r="F75" s="33"/>
      <c r="G75" s="2"/>
      <c r="H75"/>
      <c r="I75"/>
      <c r="J75" s="106"/>
      <c r="M75" s="74"/>
      <c r="N75" s="106"/>
      <c r="O75" s="409"/>
      <c r="P75" s="106"/>
      <c r="Q75" s="389"/>
      <c r="R75"/>
      <c r="S75"/>
      <c r="W75"/>
      <c r="X75"/>
    </row>
    <row r="76" spans="1:24" s="3" customFormat="1" x14ac:dyDescent="0.3">
      <c r="A76" s="360"/>
      <c r="B76" s="10" t="s">
        <v>163</v>
      </c>
      <c r="C76" s="11">
        <f>COUNT(L2:L68)</f>
        <v>37</v>
      </c>
      <c r="D76" s="11" t="s">
        <v>135</v>
      </c>
      <c r="E76" s="2" t="s">
        <v>297</v>
      </c>
      <c r="F76" s="33"/>
      <c r="G76" s="2"/>
      <c r="H76"/>
      <c r="I76"/>
      <c r="J76" s="106"/>
      <c r="M76" s="74"/>
      <c r="N76" s="106"/>
      <c r="O76" s="409"/>
      <c r="P76" s="106"/>
      <c r="Q76" s="389"/>
      <c r="R76"/>
      <c r="S76"/>
      <c r="W76"/>
      <c r="X76"/>
    </row>
    <row r="77" spans="1:24" s="3" customFormat="1" x14ac:dyDescent="0.3">
      <c r="A77" s="360"/>
      <c r="B77" s="10" t="s">
        <v>164</v>
      </c>
      <c r="C77" s="11">
        <f>COUNT(K2:K68)</f>
        <v>44</v>
      </c>
      <c r="D77" s="11" t="s">
        <v>151</v>
      </c>
      <c r="E77" s="2" t="s">
        <v>298</v>
      </c>
      <c r="F77" s="33"/>
      <c r="G77" s="2"/>
      <c r="H77"/>
      <c r="I77"/>
      <c r="J77" s="106"/>
      <c r="M77" s="74"/>
      <c r="N77" s="106"/>
      <c r="O77" s="409"/>
      <c r="P77" s="106"/>
      <c r="Q77" s="389"/>
      <c r="R77"/>
      <c r="S77"/>
      <c r="W77"/>
      <c r="X77"/>
    </row>
    <row r="78" spans="1:24" s="3" customFormat="1" x14ac:dyDescent="0.3">
      <c r="A78" s="360"/>
      <c r="B78" s="10" t="s">
        <v>185</v>
      </c>
      <c r="C78" s="15">
        <f>O69</f>
        <v>41</v>
      </c>
      <c r="D78" s="11" t="s">
        <v>232</v>
      </c>
      <c r="E78" s="2"/>
      <c r="F78" s="33"/>
      <c r="G78" s="2"/>
      <c r="H78"/>
      <c r="I78"/>
      <c r="J78" s="106"/>
      <c r="M78" s="74"/>
      <c r="N78" s="106"/>
      <c r="O78" s="409"/>
      <c r="P78" s="106"/>
      <c r="Q78" s="389"/>
      <c r="R78"/>
      <c r="S78"/>
      <c r="W78"/>
      <c r="X78"/>
    </row>
    <row r="79" spans="1:24" s="3" customFormat="1" ht="16.2" x14ac:dyDescent="0.3">
      <c r="A79" s="360"/>
      <c r="B79" s="10" t="s">
        <v>165</v>
      </c>
      <c r="C79" s="49">
        <f>J69</f>
        <v>1722.7495586803518</v>
      </c>
      <c r="D79" s="20" t="s">
        <v>196</v>
      </c>
      <c r="E79" s="2"/>
      <c r="F79" s="33"/>
      <c r="G79" s="2"/>
      <c r="H79"/>
      <c r="I79"/>
      <c r="J79" s="106"/>
      <c r="M79" s="74"/>
      <c r="N79" s="106"/>
      <c r="O79" s="409"/>
      <c r="P79" s="106"/>
      <c r="Q79" s="389"/>
      <c r="R79"/>
      <c r="S79"/>
      <c r="W79"/>
      <c r="X79"/>
    </row>
    <row r="80" spans="1:24" ht="16.2" x14ac:dyDescent="0.3">
      <c r="A80" s="360"/>
      <c r="B80" s="10" t="s">
        <v>166</v>
      </c>
      <c r="C80" s="49">
        <f>L69</f>
        <v>1103.6360000000002</v>
      </c>
      <c r="D80" s="20" t="s">
        <v>196</v>
      </c>
      <c r="E80" s="2" t="s">
        <v>299</v>
      </c>
      <c r="F80" s="33"/>
      <c r="G80" s="2"/>
      <c r="I80"/>
      <c r="J80" s="106"/>
      <c r="L80" s="3"/>
      <c r="M80" s="74"/>
      <c r="N80" s="106"/>
      <c r="O80" s="409"/>
      <c r="P80" s="106"/>
      <c r="Q80" s="389"/>
    </row>
    <row r="81" spans="1:24" ht="16.2" x14ac:dyDescent="0.3">
      <c r="A81" s="360"/>
      <c r="B81" s="10" t="s">
        <v>167</v>
      </c>
      <c r="C81" s="49">
        <f>K69</f>
        <v>1153.6549999999997</v>
      </c>
      <c r="D81" s="20" t="s">
        <v>196</v>
      </c>
      <c r="E81" s="2" t="s">
        <v>300</v>
      </c>
      <c r="F81" s="33"/>
      <c r="G81" s="2"/>
      <c r="I81"/>
      <c r="J81" s="106"/>
      <c r="L81" s="3"/>
      <c r="M81" s="74"/>
      <c r="N81" s="106"/>
      <c r="O81" s="409"/>
      <c r="P81" s="106"/>
      <c r="Q81" s="389"/>
    </row>
    <row r="82" spans="1:24" s="3" customFormat="1" ht="16.2" x14ac:dyDescent="0.3">
      <c r="A82" s="360"/>
      <c r="B82" s="47" t="s">
        <v>152</v>
      </c>
      <c r="C82" s="77">
        <f>C80/C76</f>
        <v>29.828000000000007</v>
      </c>
      <c r="D82" s="48" t="s">
        <v>223</v>
      </c>
      <c r="E82" s="2" t="s">
        <v>301</v>
      </c>
      <c r="F82" s="33"/>
      <c r="G82" s="2"/>
      <c r="H82"/>
      <c r="I82"/>
      <c r="J82" s="106"/>
      <c r="M82" s="74"/>
      <c r="N82" s="106"/>
      <c r="O82" s="409"/>
      <c r="P82" s="106"/>
      <c r="Q82" s="389"/>
      <c r="R82"/>
      <c r="S82"/>
      <c r="W82"/>
      <c r="X82"/>
    </row>
    <row r="83" spans="1:24" s="3" customFormat="1" ht="16.2" x14ac:dyDescent="0.3">
      <c r="A83" s="360"/>
      <c r="B83" s="78" t="s">
        <v>153</v>
      </c>
      <c r="C83" s="79">
        <f>C81/C77</f>
        <v>26.219431818181814</v>
      </c>
      <c r="D83" s="48" t="s">
        <v>224</v>
      </c>
      <c r="E83" s="2" t="s">
        <v>302</v>
      </c>
      <c r="F83" s="33"/>
      <c r="G83" s="2"/>
      <c r="H83"/>
      <c r="I83"/>
      <c r="J83" s="106"/>
      <c r="M83" s="74"/>
      <c r="N83" s="106"/>
      <c r="O83" s="409"/>
      <c r="P83" s="106"/>
      <c r="Q83" s="389"/>
      <c r="R83"/>
      <c r="S83"/>
      <c r="W83"/>
      <c r="X83"/>
    </row>
    <row r="84" spans="1:24" s="3" customFormat="1" x14ac:dyDescent="0.3">
      <c r="A84" s="360"/>
      <c r="B84" s="386" t="s">
        <v>186</v>
      </c>
      <c r="C84" s="387">
        <f>P68/C78</f>
        <v>13.504958638785569</v>
      </c>
      <c r="D84" s="20" t="s">
        <v>233</v>
      </c>
      <c r="E84" s="2"/>
      <c r="F84" s="33"/>
      <c r="G84" s="2"/>
      <c r="H84"/>
      <c r="I84"/>
      <c r="J84" s="106"/>
      <c r="M84" s="74"/>
      <c r="N84" s="106"/>
      <c r="O84" s="409"/>
      <c r="P84" s="106"/>
      <c r="Q84" s="389"/>
      <c r="R84"/>
      <c r="S84"/>
      <c r="W84"/>
      <c r="X84"/>
    </row>
    <row r="85" spans="1:24" s="3" customFormat="1" x14ac:dyDescent="0.3">
      <c r="A85" s="360"/>
      <c r="B85" s="12" t="s">
        <v>72</v>
      </c>
      <c r="C85" s="13">
        <v>1.5</v>
      </c>
      <c r="D85" s="11" t="s">
        <v>155</v>
      </c>
      <c r="E85" s="2"/>
      <c r="F85" s="33"/>
      <c r="G85" s="2"/>
      <c r="H85"/>
      <c r="I85"/>
      <c r="J85" s="106"/>
      <c r="M85" s="74"/>
      <c r="N85" s="106"/>
      <c r="O85" s="409"/>
      <c r="P85" s="106"/>
      <c r="Q85" s="389"/>
      <c r="R85"/>
      <c r="S85"/>
      <c r="W85"/>
      <c r="X85"/>
    </row>
    <row r="86" spans="1:24" s="3" customFormat="1" x14ac:dyDescent="0.3">
      <c r="A86" s="360"/>
      <c r="B86" s="80" t="s">
        <v>71</v>
      </c>
      <c r="C86" s="81">
        <v>3</v>
      </c>
      <c r="D86" s="11" t="s">
        <v>156</v>
      </c>
      <c r="E86" s="2"/>
      <c r="F86" s="33"/>
      <c r="G86" s="2"/>
      <c r="H86"/>
      <c r="I86"/>
      <c r="J86" s="106"/>
      <c r="M86" s="74"/>
      <c r="N86" s="106"/>
      <c r="O86" s="409"/>
      <c r="P86" s="106"/>
      <c r="Q86" s="389"/>
      <c r="R86"/>
      <c r="S86"/>
      <c r="W86"/>
      <c r="X86"/>
    </row>
    <row r="87" spans="1:24" s="3" customFormat="1" x14ac:dyDescent="0.3">
      <c r="A87" s="360"/>
      <c r="B87" s="82" t="s">
        <v>234</v>
      </c>
      <c r="C87" s="83">
        <v>1</v>
      </c>
      <c r="D87" s="11" t="s">
        <v>157</v>
      </c>
      <c r="E87" s="2"/>
      <c r="F87" s="33"/>
      <c r="G87" s="2"/>
      <c r="H87"/>
      <c r="I87"/>
      <c r="J87" s="106"/>
      <c r="M87" s="74"/>
      <c r="N87" s="106"/>
      <c r="O87" s="409"/>
      <c r="P87" s="106"/>
      <c r="Q87" s="389"/>
      <c r="R87"/>
      <c r="S87"/>
      <c r="W87"/>
      <c r="X87"/>
    </row>
    <row r="88" spans="1:24" s="3" customFormat="1" ht="15.6" x14ac:dyDescent="0.35">
      <c r="A88" s="360"/>
      <c r="B88" s="14" t="s">
        <v>225</v>
      </c>
      <c r="C88" s="195">
        <f>'9 TV'!C11/100</f>
        <v>0.2</v>
      </c>
      <c r="D88" s="11"/>
      <c r="E88" s="2"/>
      <c r="F88" s="33"/>
      <c r="G88" s="2"/>
      <c r="H88"/>
      <c r="I88"/>
      <c r="J88" s="106"/>
      <c r="M88" s="74"/>
      <c r="N88" s="106"/>
      <c r="O88" s="409"/>
      <c r="P88" s="106"/>
      <c r="Q88" s="389"/>
      <c r="R88"/>
      <c r="S88"/>
      <c r="W88"/>
      <c r="X88"/>
    </row>
    <row r="89" spans="1:24" s="3" customFormat="1" ht="16.2" thickBot="1" x14ac:dyDescent="0.4">
      <c r="A89" s="361"/>
      <c r="B89" s="380" t="s">
        <v>226</v>
      </c>
      <c r="C89" s="381">
        <f>1-C88</f>
        <v>0.8</v>
      </c>
      <c r="D89" s="382"/>
      <c r="E89" s="363"/>
      <c r="F89" s="337"/>
      <c r="G89" s="363"/>
      <c r="H89" s="364"/>
      <c r="I89" s="364"/>
      <c r="J89" s="365"/>
      <c r="K89" s="366"/>
      <c r="L89" s="366"/>
      <c r="M89" s="383"/>
      <c r="N89" s="365"/>
      <c r="O89" s="419"/>
      <c r="P89" s="365"/>
      <c r="Q89" s="390"/>
      <c r="R89"/>
      <c r="S89"/>
      <c r="W89"/>
      <c r="X89"/>
    </row>
    <row r="90" spans="1:24" s="3" customFormat="1" ht="15.6" thickTop="1" thickBot="1" x14ac:dyDescent="0.35">
      <c r="A90" s="6"/>
      <c r="B90" s="30"/>
      <c r="C90" s="2"/>
      <c r="D90" s="2"/>
      <c r="E90" s="2"/>
      <c r="F90" s="33"/>
      <c r="G90" s="2"/>
      <c r="H90"/>
      <c r="I90"/>
      <c r="J90" s="106"/>
      <c r="M90" s="74"/>
      <c r="N90" s="106"/>
      <c r="O90" s="409"/>
      <c r="P90" s="106"/>
      <c r="Q90" s="1"/>
      <c r="R90"/>
      <c r="S90"/>
      <c r="W90"/>
      <c r="X90"/>
    </row>
    <row r="91" spans="1:24" ht="15" thickTop="1" x14ac:dyDescent="0.3">
      <c r="A91" s="353">
        <v>10</v>
      </c>
      <c r="B91" s="367" t="s">
        <v>132</v>
      </c>
      <c r="C91" s="355"/>
      <c r="D91" s="355"/>
      <c r="E91" s="355"/>
      <c r="F91" s="356"/>
      <c r="G91" s="355"/>
      <c r="H91" s="357"/>
      <c r="I91" s="357"/>
      <c r="J91" s="358"/>
      <c r="K91" s="359"/>
      <c r="L91" s="359"/>
      <c r="M91" s="379"/>
      <c r="N91" s="358"/>
      <c r="O91" s="418"/>
      <c r="P91" s="358"/>
      <c r="Q91" s="391"/>
    </row>
    <row r="92" spans="1:24" s="3" customFormat="1" x14ac:dyDescent="0.3">
      <c r="A92" s="360"/>
      <c r="B92" s="14" t="s">
        <v>133</v>
      </c>
      <c r="C92" s="50">
        <f>C73*C88</f>
        <v>3231.8</v>
      </c>
      <c r="D92" s="11" t="s">
        <v>70</v>
      </c>
      <c r="E92" s="2"/>
      <c r="F92" s="33"/>
      <c r="G92" s="2"/>
      <c r="H92"/>
      <c r="I92"/>
      <c r="J92" s="106"/>
      <c r="M92" s="74"/>
      <c r="N92" s="106"/>
      <c r="O92" s="409"/>
      <c r="P92" s="106"/>
      <c r="Q92" s="389"/>
      <c r="R92"/>
      <c r="S92"/>
      <c r="W92"/>
      <c r="X92"/>
    </row>
    <row r="93" spans="1:24" s="3" customFormat="1" x14ac:dyDescent="0.3">
      <c r="A93" s="360"/>
      <c r="B93" s="14" t="s">
        <v>134</v>
      </c>
      <c r="C93" s="50">
        <f>C89*C73</f>
        <v>12927.2</v>
      </c>
      <c r="D93" s="11" t="s">
        <v>70</v>
      </c>
      <c r="E93" s="2"/>
      <c r="F93" s="33"/>
      <c r="G93" s="2"/>
      <c r="H93"/>
      <c r="I93"/>
      <c r="J93" s="106"/>
      <c r="M93" s="74"/>
      <c r="N93" s="106"/>
      <c r="O93" s="409"/>
      <c r="P93" s="106"/>
      <c r="Q93" s="389"/>
      <c r="R93"/>
      <c r="S93"/>
      <c r="W93"/>
      <c r="X93"/>
    </row>
    <row r="94" spans="1:24" s="3" customFormat="1" x14ac:dyDescent="0.3">
      <c r="A94" s="360"/>
      <c r="B94" s="14" t="s">
        <v>117</v>
      </c>
      <c r="C94" s="57">
        <f>C92/C75</f>
        <v>65.955102040816328</v>
      </c>
      <c r="D94" s="11" t="s">
        <v>176</v>
      </c>
      <c r="E94" s="2"/>
      <c r="F94" s="33"/>
      <c r="G94" s="2"/>
      <c r="H94"/>
      <c r="I94"/>
      <c r="J94" s="106"/>
      <c r="M94" s="74"/>
      <c r="N94" s="106"/>
      <c r="O94" s="409"/>
      <c r="P94" s="106"/>
      <c r="Q94" s="389"/>
      <c r="R94"/>
      <c r="S94"/>
      <c r="W94"/>
      <c r="X94"/>
    </row>
    <row r="95" spans="1:24" s="3" customFormat="1" ht="16.8" thickBot="1" x14ac:dyDescent="0.35">
      <c r="A95" s="361"/>
      <c r="B95" s="380" t="s">
        <v>89</v>
      </c>
      <c r="C95" s="384">
        <f>C93/C79</f>
        <v>7.5038184946060307</v>
      </c>
      <c r="D95" s="382" t="s">
        <v>227</v>
      </c>
      <c r="E95" s="363"/>
      <c r="F95" s="337"/>
      <c r="G95" s="363"/>
      <c r="H95" s="364"/>
      <c r="I95" s="364"/>
      <c r="J95" s="365"/>
      <c r="K95" s="366"/>
      <c r="L95" s="366"/>
      <c r="M95" s="383"/>
      <c r="N95" s="365"/>
      <c r="O95" s="419"/>
      <c r="P95" s="365"/>
      <c r="Q95" s="390"/>
      <c r="R95"/>
      <c r="S95"/>
      <c r="W95"/>
      <c r="X95"/>
    </row>
    <row r="96" spans="1:24" ht="15.6" thickTop="1" thickBot="1" x14ac:dyDescent="0.35">
      <c r="E96" s="2"/>
      <c r="F96" s="33"/>
      <c r="G96" s="2"/>
      <c r="I96"/>
      <c r="J96" s="106"/>
      <c r="L96" s="3"/>
      <c r="M96" s="74"/>
      <c r="N96" s="106"/>
      <c r="O96" s="409"/>
      <c r="P96" s="106"/>
    </row>
    <row r="97" spans="1:24" s="3" customFormat="1" ht="15" thickTop="1" x14ac:dyDescent="0.3">
      <c r="A97" s="353">
        <v>11</v>
      </c>
      <c r="B97" s="354" t="s">
        <v>303</v>
      </c>
      <c r="C97" s="355"/>
      <c r="D97" s="355"/>
      <c r="E97" s="355"/>
      <c r="F97" s="356"/>
      <c r="G97" s="355"/>
      <c r="H97" s="357"/>
      <c r="I97" s="357"/>
      <c r="J97" s="358"/>
      <c r="K97" s="359"/>
      <c r="L97" s="359"/>
      <c r="M97" s="379"/>
      <c r="N97" s="358"/>
      <c r="O97" s="418"/>
      <c r="P97" s="358"/>
      <c r="Q97" s="391"/>
      <c r="R97"/>
      <c r="S97"/>
      <c r="W97"/>
      <c r="X97"/>
    </row>
    <row r="98" spans="1:24" s="3" customFormat="1" x14ac:dyDescent="0.3">
      <c r="A98" s="360"/>
      <c r="B98" s="22" t="s">
        <v>100</v>
      </c>
      <c r="C98" s="2"/>
      <c r="D98" s="2"/>
      <c r="E98" s="2"/>
      <c r="F98" s="33"/>
      <c r="G98" s="2"/>
      <c r="H98"/>
      <c r="I98"/>
      <c r="J98" s="106"/>
      <c r="M98" s="74"/>
      <c r="N98" s="106"/>
      <c r="O98" s="409"/>
      <c r="P98" s="106"/>
      <c r="Q98" s="389"/>
      <c r="R98"/>
      <c r="S98"/>
      <c r="W98"/>
      <c r="X98"/>
    </row>
    <row r="99" spans="1:24" s="33" customFormat="1" ht="16.2" x14ac:dyDescent="0.3">
      <c r="A99" s="360"/>
      <c r="B99" s="23" t="s">
        <v>98</v>
      </c>
      <c r="C99" s="4" t="s">
        <v>101</v>
      </c>
      <c r="D99" s="24">
        <v>123.235</v>
      </c>
      <c r="E99" s="456" t="s">
        <v>196</v>
      </c>
      <c r="G99" s="2"/>
      <c r="H99"/>
      <c r="I99"/>
      <c r="J99" s="106"/>
      <c r="K99" s="3"/>
      <c r="L99" s="3"/>
      <c r="M99" s="74"/>
      <c r="N99" s="106"/>
      <c r="O99" s="409"/>
      <c r="P99" s="106"/>
      <c r="Q99" s="389"/>
      <c r="R99"/>
      <c r="S99"/>
      <c r="W99"/>
      <c r="X99"/>
    </row>
    <row r="100" spans="1:24" s="33" customFormat="1" ht="16.2" x14ac:dyDescent="0.3">
      <c r="A100" s="360"/>
      <c r="B100" s="23" t="s">
        <v>99</v>
      </c>
      <c r="C100" s="4" t="s">
        <v>102</v>
      </c>
      <c r="D100" s="24">
        <v>160.12299999999999</v>
      </c>
      <c r="E100" s="456" t="s">
        <v>196</v>
      </c>
      <c r="G100" s="2"/>
      <c r="H100"/>
      <c r="I100"/>
      <c r="J100" s="106"/>
      <c r="K100" s="3"/>
      <c r="L100" s="3"/>
      <c r="M100" s="74"/>
      <c r="N100" s="106"/>
      <c r="O100" s="409"/>
      <c r="P100" s="106"/>
      <c r="Q100" s="392"/>
    </row>
    <row r="101" spans="1:24" s="33" customFormat="1" x14ac:dyDescent="0.3">
      <c r="A101" s="360"/>
      <c r="B101" s="22"/>
      <c r="C101" s="2"/>
      <c r="D101" s="2"/>
      <c r="E101" s="2"/>
      <c r="G101" s="2"/>
      <c r="H101"/>
      <c r="I101"/>
      <c r="J101" s="106"/>
      <c r="K101" s="3"/>
      <c r="L101" s="3"/>
      <c r="M101" s="74"/>
      <c r="N101" s="106"/>
      <c r="O101" s="409"/>
      <c r="P101" s="106"/>
      <c r="Q101" s="392"/>
    </row>
    <row r="102" spans="1:24" s="33" customFormat="1" ht="16.2" x14ac:dyDescent="0.3">
      <c r="A102" s="360"/>
      <c r="B102" s="53" t="s">
        <v>92</v>
      </c>
      <c r="C102" s="52">
        <f>(C103-C104)/C105</f>
        <v>18.443999999999996</v>
      </c>
      <c r="D102" s="2" t="s">
        <v>97</v>
      </c>
      <c r="E102" s="2" t="s">
        <v>229</v>
      </c>
      <c r="G102" s="2"/>
      <c r="H102"/>
      <c r="I102"/>
      <c r="J102" s="106"/>
      <c r="K102" s="3"/>
      <c r="L102" s="3"/>
      <c r="M102" s="74"/>
      <c r="N102" s="106"/>
      <c r="O102" s="409"/>
      <c r="P102" s="106"/>
      <c r="Q102" s="392"/>
    </row>
    <row r="103" spans="1:24" s="33" customFormat="1" ht="16.2" x14ac:dyDescent="0.3">
      <c r="A103" s="360"/>
      <c r="B103" s="1" t="s">
        <v>93</v>
      </c>
      <c r="C103" s="24">
        <f>D100</f>
        <v>160.12299999999999</v>
      </c>
      <c r="D103" s="34">
        <v>45657</v>
      </c>
      <c r="E103" s="2" t="s">
        <v>228</v>
      </c>
      <c r="G103" s="2"/>
      <c r="H103"/>
      <c r="I103"/>
      <c r="J103" s="106"/>
      <c r="K103" s="3"/>
      <c r="L103" s="3"/>
      <c r="M103" s="74"/>
      <c r="N103" s="106"/>
      <c r="O103" s="409"/>
      <c r="P103" s="106"/>
      <c r="Q103" s="392"/>
    </row>
    <row r="104" spans="1:24" s="33" customFormat="1" ht="19.8" x14ac:dyDescent="0.45">
      <c r="A104" s="360"/>
      <c r="B104" s="1" t="s">
        <v>94</v>
      </c>
      <c r="C104" s="24">
        <f>D99</f>
        <v>123.235</v>
      </c>
      <c r="D104" s="34">
        <v>44926</v>
      </c>
      <c r="E104" s="2" t="s">
        <v>230</v>
      </c>
      <c r="G104" s="2"/>
      <c r="H104"/>
      <c r="I104"/>
      <c r="J104" s="106"/>
      <c r="K104" s="3"/>
      <c r="L104" s="3"/>
      <c r="M104" s="74"/>
      <c r="N104" s="106"/>
      <c r="O104" s="409"/>
      <c r="P104" s="106"/>
      <c r="Q104" s="392"/>
    </row>
    <row r="105" spans="1:24" s="33" customFormat="1" ht="15" thickBot="1" x14ac:dyDescent="0.35">
      <c r="A105" s="361"/>
      <c r="B105" s="362" t="s">
        <v>95</v>
      </c>
      <c r="C105" s="363">
        <v>2</v>
      </c>
      <c r="D105" s="363"/>
      <c r="E105" s="363" t="s">
        <v>96</v>
      </c>
      <c r="F105" s="337"/>
      <c r="G105" s="363"/>
      <c r="H105" s="364"/>
      <c r="I105" s="364"/>
      <c r="J105" s="365"/>
      <c r="K105" s="366"/>
      <c r="L105" s="366"/>
      <c r="M105" s="383"/>
      <c r="N105" s="365"/>
      <c r="O105" s="419"/>
      <c r="P105" s="365"/>
      <c r="Q105" s="393"/>
    </row>
    <row r="106" spans="1:24" s="33" customFormat="1" ht="15.6" thickTop="1" thickBot="1" x14ac:dyDescent="0.35">
      <c r="A106" s="6"/>
      <c r="B106" s="1"/>
      <c r="C106" s="2"/>
      <c r="D106" s="2"/>
      <c r="E106" s="2"/>
      <c r="G106" s="2"/>
      <c r="H106"/>
      <c r="I106"/>
      <c r="J106" s="106"/>
      <c r="K106" s="3"/>
      <c r="L106" s="3"/>
      <c r="M106" s="74"/>
      <c r="N106" s="106"/>
      <c r="O106" s="409"/>
      <c r="P106" s="106"/>
      <c r="Q106" s="394"/>
    </row>
    <row r="107" spans="1:24" s="33" customFormat="1" ht="15" thickTop="1" x14ac:dyDescent="0.3">
      <c r="A107" s="353">
        <v>12</v>
      </c>
      <c r="B107" s="354" t="s">
        <v>304</v>
      </c>
      <c r="C107" s="355"/>
      <c r="D107" s="355"/>
      <c r="E107" s="355"/>
      <c r="F107" s="356"/>
      <c r="G107" s="355"/>
      <c r="H107" s="357"/>
      <c r="I107" s="357"/>
      <c r="J107" s="358"/>
      <c r="K107" s="359"/>
      <c r="L107" s="359"/>
      <c r="M107" s="379"/>
      <c r="N107" s="358"/>
      <c r="O107" s="418"/>
      <c r="P107" s="358"/>
      <c r="Q107" s="395"/>
    </row>
    <row r="108" spans="1:24" s="33" customFormat="1" x14ac:dyDescent="0.3">
      <c r="A108" s="360"/>
      <c r="B108" s="22" t="s">
        <v>100</v>
      </c>
      <c r="C108" s="2"/>
      <c r="D108" s="2"/>
      <c r="E108" s="2"/>
      <c r="G108" s="2"/>
      <c r="H108"/>
      <c r="I108"/>
      <c r="J108" s="106"/>
      <c r="K108" s="3"/>
      <c r="L108" s="3"/>
      <c r="M108" s="74"/>
      <c r="N108" s="106"/>
      <c r="O108" s="409"/>
      <c r="P108" s="106"/>
      <c r="Q108" s="392"/>
    </row>
    <row r="109" spans="1:24" s="33" customFormat="1" ht="16.2" x14ac:dyDescent="0.3">
      <c r="A109" s="360"/>
      <c r="B109" s="457" t="s">
        <v>231</v>
      </c>
      <c r="C109" s="2"/>
      <c r="D109" s="2"/>
      <c r="E109" s="2"/>
      <c r="G109" s="2"/>
      <c r="H109"/>
      <c r="I109"/>
      <c r="J109" s="106"/>
      <c r="K109" s="3"/>
      <c r="L109" s="3"/>
      <c r="M109" s="74"/>
      <c r="N109" s="106"/>
      <c r="O109" s="409"/>
      <c r="P109" s="106"/>
      <c r="Q109" s="392"/>
    </row>
    <row r="110" spans="1:24" s="33" customFormat="1" x14ac:dyDescent="0.3">
      <c r="A110" s="360"/>
      <c r="B110" s="445" t="s">
        <v>191</v>
      </c>
      <c r="C110" s="2"/>
      <c r="D110" s="2"/>
      <c r="E110" s="2"/>
      <c r="G110" s="2"/>
      <c r="H110"/>
      <c r="I110"/>
      <c r="J110" s="106"/>
      <c r="K110" s="3"/>
      <c r="L110" s="3"/>
      <c r="M110" s="74"/>
      <c r="N110" s="106"/>
      <c r="O110" s="409"/>
      <c r="P110" s="106"/>
      <c r="Q110" s="392"/>
    </row>
    <row r="111" spans="1:24" s="33" customFormat="1" x14ac:dyDescent="0.3">
      <c r="A111" s="360"/>
      <c r="B111" s="26" t="s">
        <v>108</v>
      </c>
      <c r="C111" s="2"/>
      <c r="D111" s="2"/>
      <c r="E111" s="2"/>
      <c r="G111" s="2"/>
      <c r="H111"/>
      <c r="I111"/>
      <c r="J111" s="106"/>
      <c r="K111" s="3"/>
      <c r="L111" s="3"/>
      <c r="M111" s="74"/>
      <c r="N111" s="106"/>
      <c r="O111" s="409"/>
      <c r="P111" s="106"/>
      <c r="Q111" s="392"/>
    </row>
    <row r="112" spans="1:24" s="33" customFormat="1" x14ac:dyDescent="0.3">
      <c r="A112" s="360"/>
      <c r="B112" s="26"/>
      <c r="C112" s="2"/>
      <c r="D112" s="2"/>
      <c r="E112" s="2"/>
      <c r="G112" s="2"/>
      <c r="H112"/>
      <c r="I112"/>
      <c r="J112" s="106"/>
      <c r="K112" s="3"/>
      <c r="L112" s="3"/>
      <c r="M112" s="74"/>
      <c r="N112" s="106"/>
      <c r="O112" s="409"/>
      <c r="P112" s="106"/>
      <c r="Q112" s="392"/>
    </row>
    <row r="113" spans="1:17" s="33" customFormat="1" ht="30.6" x14ac:dyDescent="0.3">
      <c r="A113" s="360"/>
      <c r="B113" s="27" t="s">
        <v>110</v>
      </c>
      <c r="C113" s="31" t="s">
        <v>306</v>
      </c>
      <c r="D113" s="2" t="s">
        <v>305</v>
      </c>
      <c r="E113" s="2"/>
      <c r="G113" s="2"/>
      <c r="H113"/>
      <c r="I113"/>
      <c r="J113" s="106"/>
      <c r="K113" s="3"/>
      <c r="L113" s="3"/>
      <c r="M113" s="74"/>
      <c r="N113" s="106"/>
      <c r="O113" s="409"/>
      <c r="P113" s="106"/>
      <c r="Q113" s="392"/>
    </row>
    <row r="114" spans="1:17" s="33" customFormat="1" x14ac:dyDescent="0.3">
      <c r="A114" s="360"/>
      <c r="B114" s="28">
        <v>44926</v>
      </c>
      <c r="C114" s="29">
        <v>126</v>
      </c>
      <c r="D114" s="2" t="s">
        <v>109</v>
      </c>
      <c r="E114" s="2"/>
      <c r="G114" s="2"/>
      <c r="H114"/>
      <c r="I114"/>
      <c r="J114" s="106"/>
      <c r="K114" s="3"/>
      <c r="L114" s="3"/>
      <c r="M114" s="74"/>
      <c r="N114" s="106"/>
      <c r="O114" s="409"/>
      <c r="P114" s="106"/>
      <c r="Q114" s="392"/>
    </row>
    <row r="115" spans="1:17" s="33" customFormat="1" x14ac:dyDescent="0.3">
      <c r="A115" s="360"/>
      <c r="B115" s="28">
        <v>45000</v>
      </c>
      <c r="C115" s="29">
        <v>136.65</v>
      </c>
      <c r="D115" s="2" t="s">
        <v>307</v>
      </c>
      <c r="E115" s="2"/>
      <c r="G115" s="2"/>
      <c r="H115"/>
      <c r="I115"/>
      <c r="J115" s="106"/>
      <c r="K115" s="3"/>
      <c r="L115" s="3"/>
      <c r="M115" s="74"/>
      <c r="N115" s="106"/>
      <c r="O115" s="409"/>
      <c r="P115" s="106"/>
      <c r="Q115" s="392"/>
    </row>
    <row r="116" spans="1:17" s="33" customFormat="1" x14ac:dyDescent="0.3">
      <c r="A116" s="360"/>
      <c r="B116" s="28">
        <v>45291</v>
      </c>
      <c r="C116" s="30" t="s">
        <v>111</v>
      </c>
      <c r="D116" s="2" t="s">
        <v>112</v>
      </c>
      <c r="E116" s="2"/>
      <c r="G116" s="2"/>
      <c r="H116"/>
      <c r="I116"/>
      <c r="J116" s="106"/>
      <c r="K116" s="3"/>
      <c r="L116" s="3"/>
      <c r="M116" s="74"/>
      <c r="N116" s="106"/>
      <c r="O116" s="409"/>
      <c r="P116" s="106"/>
      <c r="Q116" s="392"/>
    </row>
    <row r="117" spans="1:17" s="33" customFormat="1" x14ac:dyDescent="0.3">
      <c r="A117" s="360"/>
      <c r="B117" s="28">
        <v>45657</v>
      </c>
      <c r="C117" s="32">
        <v>265.64999999999998</v>
      </c>
      <c r="D117" s="2" t="s">
        <v>113</v>
      </c>
      <c r="E117" s="2"/>
      <c r="G117" s="2"/>
      <c r="H117"/>
      <c r="I117"/>
      <c r="J117" s="106"/>
      <c r="K117" s="3"/>
      <c r="L117" s="3"/>
      <c r="M117" s="74"/>
      <c r="N117" s="106"/>
      <c r="O117" s="409"/>
      <c r="P117" s="106"/>
      <c r="Q117" s="392"/>
    </row>
    <row r="118" spans="1:17" s="33" customFormat="1" x14ac:dyDescent="0.3">
      <c r="A118" s="360"/>
      <c r="B118" s="28"/>
      <c r="C118" s="30"/>
      <c r="D118" s="2"/>
      <c r="E118" s="2"/>
      <c r="G118" s="2"/>
      <c r="H118"/>
      <c r="I118"/>
      <c r="J118" s="106"/>
      <c r="K118" s="3"/>
      <c r="L118" s="3"/>
      <c r="M118" s="74"/>
      <c r="N118" s="106"/>
      <c r="O118" s="409"/>
      <c r="P118" s="106"/>
      <c r="Q118" s="392"/>
    </row>
    <row r="119" spans="1:17" s="33" customFormat="1" ht="16.2" x14ac:dyDescent="0.3">
      <c r="A119" s="360"/>
      <c r="B119" s="576" t="s">
        <v>309</v>
      </c>
      <c r="C119" s="4" t="s">
        <v>308</v>
      </c>
      <c r="D119" s="24">
        <f>C114</f>
        <v>126</v>
      </c>
      <c r="E119" s="456" t="s">
        <v>196</v>
      </c>
      <c r="G119" s="2"/>
      <c r="H119"/>
      <c r="I119"/>
      <c r="J119" s="106"/>
      <c r="K119" s="3"/>
      <c r="L119" s="3"/>
      <c r="M119" s="74"/>
      <c r="N119" s="106"/>
      <c r="O119" s="409"/>
      <c r="P119" s="106"/>
      <c r="Q119" s="392"/>
    </row>
    <row r="120" spans="1:17" s="33" customFormat="1" ht="16.2" x14ac:dyDescent="0.3">
      <c r="A120" s="360"/>
      <c r="B120" s="23" t="s">
        <v>99</v>
      </c>
      <c r="C120" s="4" t="s">
        <v>102</v>
      </c>
      <c r="D120" s="24">
        <f>C117</f>
        <v>265.64999999999998</v>
      </c>
      <c r="E120" s="456" t="s">
        <v>196</v>
      </c>
      <c r="G120" s="2"/>
      <c r="H120"/>
      <c r="I120"/>
      <c r="J120" s="106"/>
      <c r="K120" s="3"/>
      <c r="L120" s="3"/>
      <c r="M120" s="74"/>
      <c r="N120" s="106"/>
      <c r="O120" s="409"/>
      <c r="P120" s="106"/>
      <c r="Q120" s="392"/>
    </row>
    <row r="121" spans="1:17" s="33" customFormat="1" x14ac:dyDescent="0.3">
      <c r="A121" s="360"/>
      <c r="B121" s="21"/>
      <c r="C121" s="2"/>
      <c r="D121" s="2"/>
      <c r="E121" s="2"/>
      <c r="G121" s="2"/>
      <c r="H121"/>
      <c r="I121"/>
      <c r="J121" s="106"/>
      <c r="K121" s="3"/>
      <c r="L121" s="3"/>
      <c r="M121" s="74"/>
      <c r="N121" s="106"/>
      <c r="O121" s="409"/>
      <c r="P121" s="106"/>
      <c r="Q121" s="392"/>
    </row>
    <row r="122" spans="1:17" s="33" customFormat="1" x14ac:dyDescent="0.3">
      <c r="A122" s="360"/>
      <c r="B122" s="21"/>
      <c r="C122" s="2"/>
      <c r="D122" s="2"/>
      <c r="E122" s="2"/>
      <c r="G122" s="2"/>
      <c r="H122"/>
      <c r="I122"/>
      <c r="J122" s="106"/>
      <c r="K122" s="3"/>
      <c r="L122" s="3"/>
      <c r="M122" s="74"/>
      <c r="N122" s="106"/>
      <c r="O122" s="409"/>
      <c r="P122" s="106"/>
      <c r="Q122" s="392"/>
    </row>
    <row r="123" spans="1:17" s="33" customFormat="1" x14ac:dyDescent="0.3">
      <c r="A123" s="360"/>
      <c r="B123" s="22"/>
      <c r="C123" s="2"/>
      <c r="D123" s="2"/>
      <c r="E123" s="2"/>
      <c r="G123" s="2"/>
      <c r="H123"/>
      <c r="I123"/>
      <c r="J123" s="106"/>
      <c r="K123" s="3"/>
      <c r="L123" s="3"/>
      <c r="M123" s="74"/>
      <c r="N123" s="106"/>
      <c r="O123" s="409"/>
      <c r="P123" s="106"/>
      <c r="Q123" s="392"/>
    </row>
    <row r="124" spans="1:17" s="33" customFormat="1" ht="16.2" x14ac:dyDescent="0.3">
      <c r="A124" s="360"/>
      <c r="B124" s="53" t="s">
        <v>92</v>
      </c>
      <c r="C124" s="52">
        <f>(C125-C126)/C127</f>
        <v>72.419413256066633</v>
      </c>
      <c r="D124" s="2" t="s">
        <v>97</v>
      </c>
      <c r="E124" s="2" t="s">
        <v>229</v>
      </c>
      <c r="G124" s="2"/>
      <c r="H124"/>
      <c r="I124"/>
      <c r="J124" s="106"/>
      <c r="K124" s="3"/>
      <c r="L124" s="3"/>
      <c r="M124" s="74"/>
      <c r="N124" s="106"/>
      <c r="O124" s="409"/>
      <c r="P124" s="106"/>
      <c r="Q124" s="392"/>
    </row>
    <row r="125" spans="1:17" s="33" customFormat="1" ht="16.2" x14ac:dyDescent="0.3">
      <c r="A125" s="360"/>
      <c r="B125" s="1" t="s">
        <v>93</v>
      </c>
      <c r="C125" s="24">
        <f>C117</f>
        <v>265.64999999999998</v>
      </c>
      <c r="D125" s="4">
        <v>45657</v>
      </c>
      <c r="E125" s="2" t="s">
        <v>228</v>
      </c>
      <c r="G125" s="2"/>
      <c r="H125"/>
      <c r="I125"/>
      <c r="J125" s="106"/>
      <c r="K125" s="3"/>
      <c r="L125" s="3"/>
      <c r="M125" s="74"/>
      <c r="N125" s="106"/>
      <c r="O125" s="409"/>
      <c r="P125" s="106"/>
      <c r="Q125" s="392"/>
    </row>
    <row r="126" spans="1:17" s="33" customFormat="1" ht="19.8" x14ac:dyDescent="0.45">
      <c r="A126" s="360"/>
      <c r="B126" s="1" t="s">
        <v>94</v>
      </c>
      <c r="C126" s="24">
        <f>C115</f>
        <v>136.65</v>
      </c>
      <c r="D126" s="4">
        <v>45000</v>
      </c>
      <c r="E126" s="2" t="s">
        <v>230</v>
      </c>
      <c r="G126" s="2"/>
      <c r="H126"/>
      <c r="I126"/>
      <c r="J126" s="106"/>
      <c r="K126" s="3"/>
      <c r="L126" s="3"/>
      <c r="M126" s="74"/>
      <c r="N126" s="106"/>
      <c r="O126" s="409"/>
      <c r="P126" s="106"/>
      <c r="Q126" s="392"/>
    </row>
    <row r="127" spans="1:17" s="33" customFormat="1" x14ac:dyDescent="0.3">
      <c r="A127" s="360"/>
      <c r="B127" s="1" t="s">
        <v>95</v>
      </c>
      <c r="C127" s="24">
        <f>1+(SUM(E139:E147)+(D138*16))</f>
        <v>1.7812903225806451</v>
      </c>
      <c r="D127" s="2"/>
      <c r="E127" s="2" t="s">
        <v>183</v>
      </c>
      <c r="G127" s="2"/>
      <c r="H127"/>
      <c r="I127"/>
      <c r="J127" s="106"/>
      <c r="K127" s="3"/>
      <c r="L127" s="3"/>
      <c r="M127" s="74"/>
      <c r="N127" s="106"/>
      <c r="O127" s="409"/>
      <c r="P127" s="106"/>
      <c r="Q127" s="392"/>
    </row>
    <row r="128" spans="1:17" s="33" customFormat="1" x14ac:dyDescent="0.3">
      <c r="A128" s="360"/>
      <c r="B128" s="1"/>
      <c r="C128" s="2"/>
      <c r="D128" s="2"/>
      <c r="E128" s="2"/>
      <c r="G128" s="2"/>
      <c r="H128"/>
      <c r="I128"/>
      <c r="J128" s="106"/>
      <c r="K128" s="3"/>
      <c r="L128" s="3"/>
      <c r="M128" s="74"/>
      <c r="N128" s="106"/>
      <c r="O128" s="409"/>
      <c r="P128" s="106"/>
      <c r="Q128" s="392"/>
    </row>
    <row r="129" spans="1:17" s="3" customFormat="1" x14ac:dyDescent="0.3">
      <c r="A129" s="360"/>
      <c r="B129" s="1" t="s">
        <v>122</v>
      </c>
      <c r="C129" s="2" t="s">
        <v>311</v>
      </c>
      <c r="D129" s="2"/>
      <c r="E129" s="2"/>
      <c r="F129" s="33"/>
      <c r="G129" s="2"/>
      <c r="H129"/>
      <c r="I129"/>
      <c r="J129" s="106"/>
      <c r="M129" s="74"/>
      <c r="N129" s="106"/>
      <c r="O129" s="409"/>
      <c r="P129" s="106"/>
      <c r="Q129" s="396"/>
    </row>
    <row r="130" spans="1:17" s="3" customFormat="1" x14ac:dyDescent="0.3">
      <c r="A130" s="360"/>
      <c r="B130" s="1"/>
      <c r="C130" s="2" t="s">
        <v>310</v>
      </c>
      <c r="D130" s="2"/>
      <c r="E130" s="2"/>
      <c r="F130" s="33"/>
      <c r="G130" s="2"/>
      <c r="H130"/>
      <c r="I130"/>
      <c r="J130" s="106"/>
      <c r="M130" s="74"/>
      <c r="N130" s="106"/>
      <c r="O130" s="409"/>
      <c r="P130" s="106"/>
      <c r="Q130" s="396"/>
    </row>
    <row r="131" spans="1:17" s="3" customFormat="1" ht="15" thickBot="1" x14ac:dyDescent="0.35">
      <c r="A131" s="361"/>
      <c r="B131" s="364"/>
      <c r="C131" s="363" t="s">
        <v>312</v>
      </c>
      <c r="D131" s="363"/>
      <c r="E131" s="363"/>
      <c r="F131" s="337"/>
      <c r="G131" s="363"/>
      <c r="H131" s="364"/>
      <c r="I131" s="364"/>
      <c r="J131" s="365"/>
      <c r="K131" s="366"/>
      <c r="L131" s="366"/>
      <c r="M131" s="383"/>
      <c r="N131" s="365"/>
      <c r="O131" s="419"/>
      <c r="P131" s="365"/>
      <c r="Q131" s="397"/>
    </row>
    <row r="132" spans="1:17" ht="15.6" thickTop="1" thickBot="1" x14ac:dyDescent="0.35">
      <c r="E132" s="2"/>
      <c r="F132" s="33"/>
      <c r="G132" s="2"/>
      <c r="I132"/>
      <c r="J132" s="106"/>
      <c r="L132" s="3"/>
      <c r="M132" s="74"/>
      <c r="N132" s="106"/>
      <c r="O132" s="409"/>
      <c r="P132" s="106"/>
    </row>
    <row r="133" spans="1:17" ht="15" thickTop="1" x14ac:dyDescent="0.3">
      <c r="A133" s="353">
        <v>13</v>
      </c>
      <c r="B133" s="367" t="s">
        <v>136</v>
      </c>
      <c r="C133" s="355"/>
      <c r="D133" s="355"/>
      <c r="E133" s="355"/>
      <c r="F133" s="356"/>
      <c r="G133" s="355"/>
      <c r="H133" s="357"/>
      <c r="I133" s="357"/>
      <c r="J133" s="358"/>
      <c r="K133" s="359"/>
      <c r="L133" s="359"/>
      <c r="M133" s="379"/>
      <c r="N133" s="358"/>
      <c r="O133" s="418"/>
      <c r="P133" s="358"/>
      <c r="Q133" s="391"/>
    </row>
    <row r="134" spans="1:17" s="3" customFormat="1" x14ac:dyDescent="0.3">
      <c r="A134" s="368"/>
      <c r="B134" s="54" t="s">
        <v>91</v>
      </c>
      <c r="C134" s="2"/>
      <c r="D134" s="2"/>
      <c r="E134" s="55" t="s">
        <v>137</v>
      </c>
      <c r="F134"/>
      <c r="G134"/>
      <c r="J134" s="106"/>
      <c r="M134" s="74"/>
      <c r="N134" s="106"/>
      <c r="O134" s="409"/>
      <c r="P134" s="106"/>
      <c r="Q134" s="396"/>
    </row>
    <row r="135" spans="1:17" s="3" customFormat="1" x14ac:dyDescent="0.3">
      <c r="A135" s="360"/>
      <c r="B135"/>
      <c r="C135" s="18" t="s">
        <v>85</v>
      </c>
      <c r="D135" s="18" t="s">
        <v>123</v>
      </c>
      <c r="E135" s="19" t="s">
        <v>90</v>
      </c>
      <c r="F135" s="18" t="s">
        <v>106</v>
      </c>
      <c r="G135" s="18" t="s">
        <v>313</v>
      </c>
      <c r="J135" s="106"/>
      <c r="M135" s="74"/>
      <c r="N135" s="106"/>
      <c r="O135" s="409"/>
      <c r="P135" s="106"/>
      <c r="Q135" s="396"/>
    </row>
    <row r="136" spans="1:17" s="3" customFormat="1" x14ac:dyDescent="0.3">
      <c r="A136" s="360"/>
      <c r="B136" s="8" t="s">
        <v>73</v>
      </c>
      <c r="C136" s="8">
        <v>31</v>
      </c>
      <c r="D136" s="371">
        <f t="shared" ref="D136:D147" si="18">E136/C136</f>
        <v>2.9032258064516127E-3</v>
      </c>
      <c r="E136" s="373">
        <v>0.09</v>
      </c>
      <c r="F136" s="369">
        <f t="shared" ref="F136:F147" si="19">G136*D136</f>
        <v>0</v>
      </c>
      <c r="G136" s="25"/>
      <c r="J136" s="106"/>
      <c r="M136" s="74"/>
      <c r="N136" s="106"/>
      <c r="O136" s="409"/>
      <c r="P136" s="106"/>
      <c r="Q136" s="396"/>
    </row>
    <row r="137" spans="1:17" s="3" customFormat="1" x14ac:dyDescent="0.3">
      <c r="A137" s="360"/>
      <c r="B137" s="8" t="s">
        <v>74</v>
      </c>
      <c r="C137" s="9">
        <v>28</v>
      </c>
      <c r="D137" s="371">
        <f t="shared" si="18"/>
        <v>3.2142857142857142E-3</v>
      </c>
      <c r="E137" s="373">
        <v>0.09</v>
      </c>
      <c r="F137" s="369">
        <f t="shared" si="19"/>
        <v>0</v>
      </c>
      <c r="G137" s="25"/>
      <c r="J137" s="106"/>
      <c r="M137" s="74"/>
      <c r="N137" s="106"/>
      <c r="O137" s="409"/>
      <c r="P137" s="106"/>
      <c r="Q137" s="396"/>
    </row>
    <row r="138" spans="1:17" s="3" customFormat="1" x14ac:dyDescent="0.3">
      <c r="A138" s="360"/>
      <c r="B138" s="39" t="s">
        <v>75</v>
      </c>
      <c r="C138" s="40">
        <v>31</v>
      </c>
      <c r="D138" s="372">
        <f t="shared" si="18"/>
        <v>2.5806451612903226E-3</v>
      </c>
      <c r="E138" s="374">
        <v>0.08</v>
      </c>
      <c r="F138" s="370">
        <f>G138*D138</f>
        <v>3.870967741935484E-2</v>
      </c>
      <c r="G138" s="41">
        <v>15</v>
      </c>
      <c r="J138" s="106"/>
      <c r="M138" s="74"/>
      <c r="N138" s="106"/>
      <c r="O138" s="409"/>
      <c r="P138" s="106"/>
      <c r="Q138" s="396"/>
    </row>
    <row r="139" spans="1:17" s="3" customFormat="1" x14ac:dyDescent="0.3">
      <c r="A139" s="360"/>
      <c r="B139" s="8" t="s">
        <v>76</v>
      </c>
      <c r="C139" s="9">
        <v>30</v>
      </c>
      <c r="D139" s="371">
        <f t="shared" si="18"/>
        <v>2.6666666666666666E-3</v>
      </c>
      <c r="E139" s="373">
        <v>0.08</v>
      </c>
      <c r="F139" s="369">
        <f t="shared" si="19"/>
        <v>0</v>
      </c>
      <c r="G139" s="25"/>
      <c r="J139" s="106"/>
      <c r="M139" s="74"/>
      <c r="N139" s="106"/>
      <c r="O139" s="409"/>
      <c r="P139" s="106"/>
      <c r="Q139" s="396"/>
    </row>
    <row r="140" spans="1:17" s="3" customFormat="1" x14ac:dyDescent="0.3">
      <c r="A140" s="360"/>
      <c r="B140" s="8" t="s">
        <v>77</v>
      </c>
      <c r="C140" s="9">
        <v>31</v>
      </c>
      <c r="D140" s="371">
        <f t="shared" si="18"/>
        <v>2.5806451612903226E-3</v>
      </c>
      <c r="E140" s="373">
        <v>0.08</v>
      </c>
      <c r="F140" s="369">
        <f t="shared" si="19"/>
        <v>0</v>
      </c>
      <c r="G140" s="25"/>
      <c r="J140" s="106"/>
      <c r="M140" s="74"/>
      <c r="N140" s="106"/>
      <c r="O140" s="409"/>
      <c r="P140" s="106"/>
      <c r="Q140" s="396"/>
    </row>
    <row r="141" spans="1:17" s="3" customFormat="1" x14ac:dyDescent="0.3">
      <c r="A141" s="360"/>
      <c r="B141" s="8" t="s">
        <v>78</v>
      </c>
      <c r="C141" s="9">
        <v>30</v>
      </c>
      <c r="D141" s="371">
        <f t="shared" si="18"/>
        <v>2.6666666666666666E-3</v>
      </c>
      <c r="E141" s="373">
        <v>0.08</v>
      </c>
      <c r="F141" s="369">
        <f t="shared" si="19"/>
        <v>0</v>
      </c>
      <c r="G141" s="25"/>
      <c r="J141" s="106"/>
      <c r="M141" s="74"/>
      <c r="N141" s="106"/>
      <c r="O141" s="409"/>
      <c r="P141" s="106"/>
      <c r="Q141" s="396"/>
    </row>
    <row r="142" spans="1:17" s="3" customFormat="1" x14ac:dyDescent="0.3">
      <c r="A142" s="360"/>
      <c r="B142" s="8" t="s">
        <v>79</v>
      </c>
      <c r="C142" s="9">
        <v>31</v>
      </c>
      <c r="D142" s="371">
        <f t="shared" si="18"/>
        <v>2.5806451612903226E-3</v>
      </c>
      <c r="E142" s="373">
        <v>0.08</v>
      </c>
      <c r="F142" s="369">
        <f t="shared" si="19"/>
        <v>0</v>
      </c>
      <c r="G142" s="25"/>
      <c r="J142" s="106"/>
      <c r="M142" s="74"/>
      <c r="N142" s="106"/>
      <c r="O142" s="409"/>
      <c r="P142" s="106"/>
      <c r="Q142" s="396"/>
    </row>
    <row r="143" spans="1:17" s="3" customFormat="1" x14ac:dyDescent="0.3">
      <c r="A143" s="360"/>
      <c r="B143" s="8" t="s">
        <v>80</v>
      </c>
      <c r="C143" s="9">
        <v>31</v>
      </c>
      <c r="D143" s="371">
        <f t="shared" si="18"/>
        <v>2.5806451612903226E-3</v>
      </c>
      <c r="E143" s="373">
        <v>0.08</v>
      </c>
      <c r="F143" s="369">
        <f t="shared" si="19"/>
        <v>0</v>
      </c>
      <c r="G143" s="25"/>
      <c r="J143" s="106"/>
      <c r="M143" s="74"/>
      <c r="N143" s="106"/>
      <c r="O143" s="409"/>
      <c r="P143" s="106"/>
      <c r="Q143" s="396"/>
    </row>
    <row r="144" spans="1:17" s="3" customFormat="1" x14ac:dyDescent="0.3">
      <c r="A144" s="360"/>
      <c r="B144" s="8" t="s">
        <v>81</v>
      </c>
      <c r="C144" s="9">
        <v>30</v>
      </c>
      <c r="D144" s="371">
        <f t="shared" si="18"/>
        <v>2.6666666666666666E-3</v>
      </c>
      <c r="E144" s="373">
        <v>0.08</v>
      </c>
      <c r="F144" s="369">
        <f t="shared" si="19"/>
        <v>0</v>
      </c>
      <c r="G144" s="25"/>
      <c r="J144" s="106"/>
      <c r="M144" s="74"/>
      <c r="N144" s="106"/>
      <c r="O144" s="409"/>
      <c r="P144" s="106"/>
      <c r="Q144" s="396"/>
    </row>
    <row r="145" spans="1:17" s="3" customFormat="1" x14ac:dyDescent="0.3">
      <c r="A145" s="360"/>
      <c r="B145" s="8" t="s">
        <v>82</v>
      </c>
      <c r="C145" s="9">
        <v>31</v>
      </c>
      <c r="D145" s="371">
        <f t="shared" si="18"/>
        <v>2.5806451612903226E-3</v>
      </c>
      <c r="E145" s="373">
        <v>0.08</v>
      </c>
      <c r="F145" s="369">
        <f t="shared" si="19"/>
        <v>0</v>
      </c>
      <c r="G145" s="25"/>
      <c r="J145" s="106"/>
      <c r="M145" s="74"/>
      <c r="N145" s="106"/>
      <c r="O145" s="409"/>
      <c r="P145" s="106"/>
      <c r="Q145" s="396"/>
    </row>
    <row r="146" spans="1:17" s="2" customFormat="1" x14ac:dyDescent="0.3">
      <c r="A146" s="360"/>
      <c r="B146" s="8" t="s">
        <v>83</v>
      </c>
      <c r="C146" s="9">
        <v>30</v>
      </c>
      <c r="D146" s="371">
        <f t="shared" si="18"/>
        <v>3.0000000000000001E-3</v>
      </c>
      <c r="E146" s="373">
        <v>0.09</v>
      </c>
      <c r="F146" s="369">
        <f t="shared" si="19"/>
        <v>0</v>
      </c>
      <c r="G146" s="25"/>
      <c r="J146" s="106"/>
      <c r="K146" s="3"/>
      <c r="L146" s="3"/>
      <c r="M146" s="74"/>
      <c r="N146" s="106"/>
      <c r="O146" s="409"/>
      <c r="P146" s="106"/>
      <c r="Q146" s="398"/>
    </row>
    <row r="147" spans="1:17" s="2" customFormat="1" x14ac:dyDescent="0.3">
      <c r="A147" s="360"/>
      <c r="B147" s="8" t="s">
        <v>84</v>
      </c>
      <c r="C147" s="9">
        <v>31</v>
      </c>
      <c r="D147" s="371">
        <f t="shared" si="18"/>
        <v>2.9032258064516127E-3</v>
      </c>
      <c r="E147" s="373">
        <v>0.09</v>
      </c>
      <c r="F147" s="369">
        <f t="shared" si="19"/>
        <v>0</v>
      </c>
      <c r="G147" s="25"/>
      <c r="J147" s="106"/>
      <c r="K147" s="3"/>
      <c r="L147" s="3"/>
      <c r="M147" s="74"/>
      <c r="N147" s="106"/>
      <c r="O147" s="409"/>
      <c r="P147" s="106"/>
      <c r="Q147" s="398"/>
    </row>
    <row r="148" spans="1:17" s="2" customFormat="1" x14ac:dyDescent="0.3">
      <c r="A148" s="360"/>
      <c r="B148" s="5"/>
      <c r="C148">
        <f>SUM(C136:C147)</f>
        <v>365</v>
      </c>
      <c r="D148"/>
      <c r="E148" s="375">
        <f>SUM(E136:E147)</f>
        <v>0.99999999999999978</v>
      </c>
      <c r="F148" s="196">
        <f>SUM(E136:E147)</f>
        <v>0.99999999999999978</v>
      </c>
      <c r="H148"/>
      <c r="I148"/>
      <c r="J148" s="106"/>
      <c r="K148" s="3"/>
      <c r="L148" s="3"/>
      <c r="M148" s="74"/>
      <c r="N148" s="106"/>
      <c r="O148" s="409"/>
      <c r="P148" s="106"/>
      <c r="Q148" s="398"/>
    </row>
    <row r="149" spans="1:17" ht="15" thickBot="1" x14ac:dyDescent="0.35">
      <c r="A149" s="361"/>
      <c r="B149" s="364"/>
      <c r="C149" s="363"/>
      <c r="D149" s="363"/>
      <c r="E149" s="363"/>
      <c r="F149" s="337"/>
      <c r="G149" s="363"/>
      <c r="H149" s="364"/>
      <c r="I149" s="364"/>
      <c r="J149" s="365"/>
      <c r="K149" s="366"/>
      <c r="L149" s="366"/>
      <c r="M149" s="383"/>
      <c r="N149" s="365"/>
      <c r="O149" s="419"/>
      <c r="P149" s="365"/>
      <c r="Q149" s="390"/>
    </row>
    <row r="150" spans="1:17" ht="15" thickTop="1" x14ac:dyDescent="0.3">
      <c r="E150" s="2"/>
      <c r="F150" s="33"/>
      <c r="G150" s="2"/>
      <c r="I150"/>
      <c r="J150" s="106"/>
      <c r="L150" s="3"/>
      <c r="M150" s="74"/>
      <c r="N150" s="106"/>
      <c r="O150" s="409"/>
      <c r="P150" s="106"/>
    </row>
    <row r="151" spans="1:17" x14ac:dyDescent="0.3">
      <c r="E151" s="2"/>
      <c r="F151" s="33"/>
      <c r="G151" s="2"/>
      <c r="I151"/>
      <c r="J151" s="106"/>
      <c r="L151" s="3"/>
      <c r="M151" s="74"/>
      <c r="N151" s="106"/>
      <c r="O151" s="409"/>
      <c r="P151" s="106"/>
    </row>
    <row r="152" spans="1:17" x14ac:dyDescent="0.3">
      <c r="E152" s="2"/>
      <c r="F152" s="33"/>
      <c r="G152" s="2"/>
      <c r="I152"/>
      <c r="J152" s="106"/>
      <c r="L152" s="3"/>
      <c r="M152" s="74"/>
      <c r="N152" s="106"/>
      <c r="O152" s="409"/>
      <c r="P152" s="106"/>
    </row>
    <row r="153" spans="1:17" x14ac:dyDescent="0.3">
      <c r="E153" s="2"/>
      <c r="F153" s="33"/>
      <c r="G153" s="2"/>
      <c r="I153"/>
      <c r="J153" s="106"/>
      <c r="L153" s="3"/>
      <c r="M153" s="74"/>
      <c r="N153" s="106"/>
      <c r="O153" s="409"/>
      <c r="P153" s="106"/>
    </row>
    <row r="154" spans="1:17" s="2" customFormat="1" x14ac:dyDescent="0.3">
      <c r="A154" s="6"/>
      <c r="B154" s="37"/>
      <c r="F154" s="33"/>
      <c r="H154"/>
      <c r="I154"/>
      <c r="J154" s="106"/>
      <c r="K154" s="3"/>
      <c r="L154" s="3"/>
      <c r="M154" s="74"/>
      <c r="N154" s="106"/>
      <c r="O154" s="409"/>
      <c r="P154" s="106"/>
      <c r="Q154" s="30"/>
    </row>
    <row r="155" spans="1:17" s="2" customFormat="1" x14ac:dyDescent="0.3">
      <c r="A155" s="6"/>
      <c r="B155" s="42"/>
      <c r="F155" s="33"/>
      <c r="H155"/>
      <c r="I155"/>
      <c r="J155" s="106"/>
      <c r="K155" s="3"/>
      <c r="L155" s="3"/>
      <c r="M155" s="74"/>
      <c r="N155" s="106"/>
      <c r="O155" s="409"/>
      <c r="P155" s="106"/>
      <c r="Q155" s="30"/>
    </row>
    <row r="156" spans="1:17" x14ac:dyDescent="0.3">
      <c r="E156" s="2"/>
      <c r="F156" s="33"/>
      <c r="G156" s="2"/>
      <c r="I156"/>
      <c r="J156" s="106"/>
      <c r="L156" s="3"/>
      <c r="M156" s="74"/>
      <c r="N156" s="106"/>
      <c r="O156" s="409"/>
      <c r="P156" s="106"/>
    </row>
    <row r="157" spans="1:17" x14ac:dyDescent="0.3">
      <c r="E157" s="2"/>
      <c r="F157" s="33"/>
      <c r="G157" s="2"/>
      <c r="I157"/>
      <c r="J157" s="106"/>
      <c r="L157" s="3"/>
      <c r="M157" s="74"/>
      <c r="N157" s="106"/>
      <c r="O157" s="409"/>
      <c r="P157" s="106"/>
    </row>
    <row r="158" spans="1:17" x14ac:dyDescent="0.3">
      <c r="E158" s="2"/>
      <c r="F158" s="33"/>
      <c r="G158" s="2"/>
      <c r="I158"/>
      <c r="J158" s="106"/>
      <c r="L158" s="3"/>
      <c r="M158" s="74"/>
      <c r="N158" s="106"/>
      <c r="O158" s="409"/>
      <c r="P158" s="106"/>
    </row>
    <row r="159" spans="1:17" x14ac:dyDescent="0.3">
      <c r="E159" s="2"/>
      <c r="F159" s="33"/>
      <c r="G159" s="2"/>
      <c r="I159"/>
      <c r="J159" s="106"/>
      <c r="L159" s="3"/>
      <c r="M159" s="74"/>
      <c r="N159" s="106"/>
      <c r="O159" s="409"/>
      <c r="P159" s="106"/>
    </row>
    <row r="160" spans="1:17" x14ac:dyDescent="0.3">
      <c r="E160" s="2"/>
      <c r="F160" s="33"/>
      <c r="G160" s="2"/>
      <c r="I160"/>
      <c r="J160" s="106"/>
      <c r="L160" s="3"/>
      <c r="M160" s="74"/>
      <c r="N160" s="106"/>
      <c r="O160" s="409"/>
      <c r="P160" s="106"/>
    </row>
    <row r="161" spans="5:16" x14ac:dyDescent="0.3">
      <c r="E161" s="2"/>
      <c r="F161" s="33"/>
      <c r="G161" s="2"/>
      <c r="I161"/>
      <c r="J161" s="106"/>
      <c r="L161" s="3"/>
      <c r="M161" s="74"/>
      <c r="N161" s="106"/>
      <c r="O161" s="409"/>
      <c r="P161" s="106"/>
    </row>
    <row r="162" spans="5:16" x14ac:dyDescent="0.3">
      <c r="E162" s="2"/>
      <c r="F162" s="33"/>
      <c r="G162" s="2"/>
      <c r="I162"/>
      <c r="J162" s="106"/>
      <c r="L162" s="3"/>
      <c r="M162" s="74"/>
      <c r="N162" s="106"/>
      <c r="O162" s="409"/>
      <c r="P162" s="106"/>
    </row>
    <row r="163" spans="5:16" x14ac:dyDescent="0.3">
      <c r="E163" s="2"/>
      <c r="F163" s="33"/>
      <c r="G163" s="2"/>
      <c r="I163"/>
      <c r="J163" s="106"/>
      <c r="L163" s="3"/>
      <c r="M163" s="74"/>
      <c r="N163" s="106"/>
      <c r="O163" s="409"/>
      <c r="P163" s="106"/>
    </row>
    <row r="164" spans="5:16" x14ac:dyDescent="0.3">
      <c r="E164" s="2"/>
      <c r="F164" s="33"/>
      <c r="G164" s="2"/>
      <c r="I164"/>
      <c r="J164" s="106"/>
      <c r="L164" s="3"/>
      <c r="M164" s="74"/>
      <c r="N164" s="106"/>
      <c r="O164" s="409"/>
      <c r="P164" s="106"/>
    </row>
    <row r="165" spans="5:16" x14ac:dyDescent="0.3">
      <c r="E165" s="2"/>
      <c r="F165" s="33"/>
      <c r="G165" s="2"/>
      <c r="I165"/>
      <c r="J165" s="106"/>
      <c r="L165" s="3"/>
      <c r="M165" s="74"/>
      <c r="N165" s="106"/>
      <c r="O165" s="409"/>
      <c r="P165" s="106"/>
    </row>
    <row r="166" spans="5:16" x14ac:dyDescent="0.3">
      <c r="E166" s="2"/>
      <c r="F166" s="33"/>
      <c r="G166" s="2"/>
      <c r="I166"/>
      <c r="J166" s="106"/>
      <c r="L166" s="3"/>
      <c r="M166" s="74"/>
      <c r="N166" s="106"/>
      <c r="O166" s="409"/>
      <c r="P166" s="106"/>
    </row>
    <row r="167" spans="5:16" x14ac:dyDescent="0.3">
      <c r="E167" s="2"/>
      <c r="F167" s="33"/>
      <c r="G167" s="2"/>
      <c r="I167"/>
      <c r="J167" s="106"/>
      <c r="L167" s="3"/>
      <c r="M167" s="74"/>
      <c r="N167" s="106"/>
      <c r="O167" s="409"/>
      <c r="P167" s="106"/>
    </row>
    <row r="168" spans="5:16" x14ac:dyDescent="0.3">
      <c r="E168" s="2"/>
      <c r="F168" s="33"/>
      <c r="G168" s="2"/>
      <c r="I168"/>
      <c r="J168" s="106"/>
      <c r="L168" s="3"/>
      <c r="M168" s="74"/>
      <c r="N168" s="106"/>
      <c r="O168" s="409"/>
      <c r="P168" s="106"/>
    </row>
    <row r="169" spans="5:16" x14ac:dyDescent="0.3">
      <c r="E169" s="2"/>
      <c r="F169" s="33"/>
      <c r="G169" s="2"/>
      <c r="I169"/>
      <c r="J169" s="106"/>
      <c r="L169" s="3"/>
      <c r="M169" s="74"/>
      <c r="N169" s="106"/>
      <c r="O169" s="409"/>
      <c r="P169" s="106"/>
    </row>
    <row r="170" spans="5:16" x14ac:dyDescent="0.3">
      <c r="E170" s="2"/>
      <c r="F170" s="33"/>
      <c r="G170" s="2"/>
      <c r="I170"/>
      <c r="J170" s="106"/>
      <c r="L170" s="3"/>
      <c r="M170" s="74"/>
      <c r="N170" s="106"/>
      <c r="O170" s="409"/>
      <c r="P170" s="106"/>
    </row>
    <row r="171" spans="5:16" x14ac:dyDescent="0.3">
      <c r="E171" s="2"/>
      <c r="F171" s="33"/>
      <c r="G171" s="2"/>
      <c r="I171"/>
      <c r="J171" s="106"/>
      <c r="L171" s="3"/>
      <c r="M171" s="74"/>
      <c r="N171" s="106"/>
      <c r="O171" s="409"/>
      <c r="P171" s="106"/>
    </row>
    <row r="172" spans="5:16" x14ac:dyDescent="0.3">
      <c r="E172" s="2"/>
      <c r="F172" s="33"/>
      <c r="G172" s="2"/>
      <c r="I172"/>
      <c r="J172" s="106"/>
      <c r="L172" s="3"/>
      <c r="M172" s="74"/>
      <c r="N172" s="106"/>
      <c r="O172" s="409"/>
      <c r="P172" s="106"/>
    </row>
    <row r="173" spans="5:16" x14ac:dyDescent="0.3">
      <c r="E173" s="2"/>
      <c r="F173" s="33"/>
      <c r="G173" s="2"/>
      <c r="I173"/>
      <c r="J173" s="106"/>
      <c r="L173" s="3"/>
      <c r="M173" s="74"/>
      <c r="N173" s="106"/>
      <c r="O173" s="409"/>
      <c r="P173" s="106"/>
    </row>
    <row r="174" spans="5:16" x14ac:dyDescent="0.3">
      <c r="E174" s="2"/>
      <c r="F174" s="33"/>
      <c r="G174" s="2"/>
      <c r="I174"/>
      <c r="J174" s="106"/>
      <c r="L174" s="3"/>
      <c r="M174" s="74"/>
      <c r="N174" s="106"/>
      <c r="O174" s="409"/>
      <c r="P174" s="106"/>
    </row>
    <row r="175" spans="5:16" x14ac:dyDescent="0.3">
      <c r="E175" s="2"/>
      <c r="F175" s="33"/>
      <c r="G175" s="2"/>
      <c r="I175"/>
      <c r="J175" s="106"/>
      <c r="L175" s="3"/>
      <c r="M175" s="74"/>
      <c r="N175" s="106"/>
      <c r="O175" s="409"/>
      <c r="P175" s="106"/>
    </row>
    <row r="176" spans="5:16" x14ac:dyDescent="0.3">
      <c r="E176" s="2"/>
      <c r="F176" s="33"/>
      <c r="G176" s="2"/>
      <c r="I176"/>
      <c r="J176" s="106"/>
      <c r="L176" s="3"/>
      <c r="M176" s="74"/>
      <c r="N176" s="106"/>
      <c r="O176" s="409"/>
      <c r="P176" s="106"/>
    </row>
    <row r="177" spans="5:16" x14ac:dyDescent="0.3">
      <c r="E177" s="2"/>
      <c r="F177" s="33"/>
      <c r="G177" s="2"/>
      <c r="I177"/>
      <c r="J177" s="106"/>
      <c r="L177" s="3"/>
      <c r="M177" s="74"/>
      <c r="N177" s="106"/>
      <c r="O177" s="409"/>
      <c r="P177" s="106"/>
    </row>
    <row r="178" spans="5:16" x14ac:dyDescent="0.3">
      <c r="E178" s="2"/>
      <c r="F178" s="33"/>
      <c r="G178" s="2"/>
      <c r="I178"/>
      <c r="J178" s="106"/>
      <c r="L178" s="3"/>
      <c r="M178" s="74"/>
      <c r="N178" s="106"/>
      <c r="O178" s="409"/>
      <c r="P178" s="106"/>
    </row>
    <row r="179" spans="5:16" x14ac:dyDescent="0.3">
      <c r="E179" s="2"/>
      <c r="F179" s="33"/>
      <c r="G179" s="2"/>
      <c r="I179"/>
      <c r="J179" s="106"/>
      <c r="L179" s="3"/>
      <c r="M179" s="74"/>
      <c r="N179" s="106"/>
      <c r="O179" s="409"/>
      <c r="P179" s="106"/>
    </row>
    <row r="180" spans="5:16" x14ac:dyDescent="0.3">
      <c r="E180" s="2"/>
      <c r="F180" s="33"/>
      <c r="G180" s="2"/>
      <c r="I180"/>
      <c r="J180" s="106"/>
      <c r="L180" s="3"/>
      <c r="M180" s="74"/>
      <c r="N180" s="106"/>
      <c r="O180" s="409"/>
      <c r="P180" s="106"/>
    </row>
    <row r="181" spans="5:16" x14ac:dyDescent="0.3">
      <c r="E181" s="2"/>
      <c r="F181" s="33"/>
      <c r="G181" s="2"/>
      <c r="I181"/>
      <c r="J181" s="106"/>
      <c r="L181" s="3"/>
      <c r="M181" s="74"/>
      <c r="N181" s="106"/>
      <c r="O181" s="409"/>
      <c r="P181" s="106"/>
    </row>
    <row r="182" spans="5:16" x14ac:dyDescent="0.3">
      <c r="E182" s="2"/>
      <c r="F182" s="33"/>
      <c r="G182" s="2"/>
      <c r="I182"/>
      <c r="J182" s="106"/>
      <c r="L182" s="3"/>
      <c r="M182" s="74"/>
      <c r="N182" s="106"/>
      <c r="O182" s="409"/>
      <c r="P182" s="106"/>
    </row>
    <row r="183" spans="5:16" x14ac:dyDescent="0.3">
      <c r="E183" s="2"/>
      <c r="F183" s="33"/>
      <c r="G183" s="2"/>
      <c r="I183"/>
      <c r="J183" s="106"/>
      <c r="L183" s="3"/>
      <c r="M183" s="74"/>
      <c r="N183" s="106"/>
      <c r="O183" s="409"/>
      <c r="P183" s="106"/>
    </row>
    <row r="184" spans="5:16" x14ac:dyDescent="0.3">
      <c r="E184" s="2"/>
      <c r="F184" s="33"/>
      <c r="G184" s="2"/>
      <c r="I184"/>
      <c r="J184" s="106"/>
      <c r="L184" s="3"/>
      <c r="M184" s="74"/>
      <c r="N184" s="106"/>
      <c r="O184" s="409"/>
      <c r="P184" s="106"/>
    </row>
    <row r="185" spans="5:16" x14ac:dyDescent="0.3">
      <c r="E185" s="2"/>
      <c r="F185" s="33"/>
      <c r="G185" s="2"/>
      <c r="I185"/>
      <c r="J185" s="106"/>
      <c r="L185" s="3"/>
      <c r="M185" s="74"/>
      <c r="N185" s="106"/>
      <c r="O185" s="409"/>
      <c r="P185" s="106"/>
    </row>
    <row r="186" spans="5:16" x14ac:dyDescent="0.3">
      <c r="E186" s="2"/>
      <c r="F186" s="33"/>
      <c r="G186" s="2"/>
      <c r="I186"/>
      <c r="J186" s="106"/>
      <c r="L186" s="3"/>
      <c r="M186" s="74"/>
      <c r="N186" s="106"/>
      <c r="O186" s="409"/>
      <c r="P186" s="106"/>
    </row>
    <row r="187" spans="5:16" x14ac:dyDescent="0.3">
      <c r="E187" s="2"/>
      <c r="F187" s="33"/>
      <c r="G187" s="2"/>
      <c r="I187"/>
      <c r="J187" s="106"/>
      <c r="L187" s="3"/>
      <c r="M187" s="74"/>
      <c r="N187" s="106"/>
      <c r="O187" s="409"/>
      <c r="P187" s="106"/>
    </row>
    <row r="188" spans="5:16" x14ac:dyDescent="0.3">
      <c r="E188" s="2"/>
      <c r="F188" s="33"/>
      <c r="G188" s="2"/>
      <c r="I188"/>
      <c r="J188" s="106"/>
      <c r="L188" s="3"/>
      <c r="M188" s="74"/>
      <c r="N188" s="106"/>
      <c r="O188" s="409"/>
      <c r="P188" s="106"/>
    </row>
    <row r="189" spans="5:16" x14ac:dyDescent="0.3">
      <c r="E189" s="2"/>
      <c r="F189" s="33"/>
      <c r="G189" s="2"/>
      <c r="I189"/>
      <c r="J189" s="106"/>
      <c r="L189" s="3"/>
      <c r="M189" s="74"/>
      <c r="N189" s="106"/>
      <c r="O189" s="409"/>
      <c r="P189" s="106"/>
    </row>
    <row r="190" spans="5:16" x14ac:dyDescent="0.3">
      <c r="E190" s="2"/>
      <c r="F190" s="33"/>
      <c r="G190" s="2"/>
      <c r="I190"/>
      <c r="J190" s="106"/>
      <c r="L190" s="3"/>
      <c r="M190" s="74"/>
      <c r="N190" s="106"/>
      <c r="O190" s="409"/>
      <c r="P190" s="106"/>
    </row>
    <row r="191" spans="5:16" x14ac:dyDescent="0.3">
      <c r="E191" s="2"/>
      <c r="F191" s="33"/>
      <c r="G191" s="2"/>
      <c r="I191"/>
      <c r="J191" s="106"/>
      <c r="L191" s="3"/>
      <c r="M191" s="74"/>
      <c r="N191" s="106"/>
      <c r="O191" s="409"/>
      <c r="P191" s="106"/>
    </row>
    <row r="192" spans="5:16" x14ac:dyDescent="0.3">
      <c r="E192" s="2"/>
      <c r="F192" s="33"/>
      <c r="G192" s="2"/>
      <c r="I192"/>
      <c r="J192" s="106"/>
      <c r="L192" s="3"/>
      <c r="M192" s="74"/>
      <c r="N192" s="106"/>
      <c r="O192" s="409"/>
      <c r="P192" s="106"/>
    </row>
    <row r="193" spans="1:16" x14ac:dyDescent="0.3">
      <c r="A193" s="2"/>
      <c r="B193" s="33"/>
      <c r="D193"/>
      <c r="E193"/>
      <c r="F193" s="106"/>
      <c r="G193" s="3"/>
      <c r="H193" s="3"/>
      <c r="I193" s="74"/>
      <c r="J193" s="106"/>
      <c r="L193"/>
      <c r="M193"/>
      <c r="N193"/>
      <c r="P193"/>
    </row>
  </sheetData>
  <mergeCells count="36">
    <mergeCell ref="Q52:Q53"/>
    <mergeCell ref="I32:I34"/>
    <mergeCell ref="I35:I37"/>
    <mergeCell ref="I41:I43"/>
    <mergeCell ref="I52:I53"/>
    <mergeCell ref="N52:N53"/>
    <mergeCell ref="L52:L53"/>
    <mergeCell ref="L47:L48"/>
    <mergeCell ref="O32:O34"/>
    <mergeCell ref="O35:O37"/>
    <mergeCell ref="O41:O43"/>
    <mergeCell ref="O52:O53"/>
    <mergeCell ref="P52:P53"/>
    <mergeCell ref="P32:P34"/>
    <mergeCell ref="P35:P37"/>
    <mergeCell ref="L2:L3"/>
    <mergeCell ref="Q26:Q28"/>
    <mergeCell ref="Q32:Q34"/>
    <mergeCell ref="Q35:Q37"/>
    <mergeCell ref="Q41:Q43"/>
    <mergeCell ref="N20:N22"/>
    <mergeCell ref="N26:N28"/>
    <mergeCell ref="N32:N34"/>
    <mergeCell ref="N35:N37"/>
    <mergeCell ref="N41:N43"/>
    <mergeCell ref="O20:O22"/>
    <mergeCell ref="O26:O28"/>
    <mergeCell ref="P41:P43"/>
    <mergeCell ref="Q20:Q22"/>
    <mergeCell ref="P20:P22"/>
    <mergeCell ref="P26:P28"/>
    <mergeCell ref="J2:J3"/>
    <mergeCell ref="K2:K3"/>
    <mergeCell ref="D2:D3"/>
    <mergeCell ref="I20:I22"/>
    <mergeCell ref="I26:I28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120" zoomScaleNormal="120" workbookViewId="0"/>
  </sheetViews>
  <sheetFormatPr defaultRowHeight="15.6" x14ac:dyDescent="0.3"/>
  <cols>
    <col min="1" max="2" width="8.88671875" style="450"/>
    <col min="3" max="3" width="13.5546875" style="450" bestFit="1" customWidth="1"/>
    <col min="4" max="4" width="10.109375" style="450" bestFit="1" customWidth="1"/>
    <col min="5" max="5" width="15.44140625" style="450" customWidth="1"/>
    <col min="6" max="6" width="9.44140625" style="450" bestFit="1" customWidth="1"/>
    <col min="7" max="16384" width="8.88671875" style="450"/>
  </cols>
  <sheetData>
    <row r="1" spans="1:7" x14ac:dyDescent="0.3">
      <c r="A1" s="450" t="s">
        <v>192</v>
      </c>
    </row>
    <row r="3" spans="1:7" ht="30.75" customHeight="1" x14ac:dyDescent="0.3">
      <c r="B3" s="451"/>
      <c r="C3" s="451" t="s">
        <v>208</v>
      </c>
      <c r="D3" s="451" t="s">
        <v>239</v>
      </c>
      <c r="E3" s="451" t="s">
        <v>314</v>
      </c>
    </row>
    <row r="4" spans="1:7" x14ac:dyDescent="0.3">
      <c r="B4" s="452" t="s">
        <v>177</v>
      </c>
      <c r="C4" s="452">
        <v>20</v>
      </c>
      <c r="D4" s="452">
        <v>1</v>
      </c>
      <c r="E4" s="452">
        <v>1</v>
      </c>
    </row>
    <row r="5" spans="1:7" x14ac:dyDescent="0.3">
      <c r="B5" s="452" t="s">
        <v>178</v>
      </c>
      <c r="C5" s="452">
        <v>15</v>
      </c>
      <c r="D5" s="452">
        <v>1</v>
      </c>
      <c r="E5" s="452">
        <v>1</v>
      </c>
    </row>
    <row r="6" spans="1:7" x14ac:dyDescent="0.3">
      <c r="B6" s="452" t="s">
        <v>179</v>
      </c>
      <c r="C6" s="452">
        <v>25</v>
      </c>
      <c r="D6" s="452">
        <v>1</v>
      </c>
      <c r="E6" s="554">
        <v>1</v>
      </c>
    </row>
    <row r="7" spans="1:7" x14ac:dyDescent="0.3">
      <c r="B7" s="452" t="s">
        <v>179</v>
      </c>
      <c r="C7" s="452">
        <v>5</v>
      </c>
      <c r="D7" s="452">
        <v>1</v>
      </c>
      <c r="E7" s="554"/>
    </row>
    <row r="8" spans="1:7" x14ac:dyDescent="0.3">
      <c r="B8" s="452" t="s">
        <v>180</v>
      </c>
      <c r="C8" s="452">
        <v>10</v>
      </c>
      <c r="D8" s="452">
        <v>1</v>
      </c>
      <c r="E8" s="452">
        <v>1</v>
      </c>
    </row>
    <row r="9" spans="1:7" x14ac:dyDescent="0.3">
      <c r="B9" s="453" t="s">
        <v>181</v>
      </c>
      <c r="C9" s="453">
        <f>SUM(C4:C8)</f>
        <v>75</v>
      </c>
      <c r="D9" s="453">
        <f>SUM(D4:D8)</f>
        <v>5</v>
      </c>
      <c r="E9" s="453">
        <f>SUM(E4:E8)</f>
        <v>4</v>
      </c>
    </row>
    <row r="11" spans="1:7" x14ac:dyDescent="0.3">
      <c r="B11" s="450" t="s">
        <v>182</v>
      </c>
    </row>
    <row r="13" spans="1:7" ht="17.399999999999999" x14ac:dyDescent="0.3">
      <c r="B13" s="450" t="s">
        <v>238</v>
      </c>
      <c r="F13" s="454">
        <f>C9/D9</f>
        <v>15</v>
      </c>
      <c r="G13" s="450" t="s">
        <v>209</v>
      </c>
    </row>
    <row r="14" spans="1:7" ht="17.399999999999999" x14ac:dyDescent="0.3">
      <c r="B14" s="450" t="s">
        <v>237</v>
      </c>
      <c r="F14" s="454">
        <f>C9/E9</f>
        <v>18.75</v>
      </c>
      <c r="G14" s="450" t="s">
        <v>209</v>
      </c>
    </row>
  </sheetData>
  <mergeCells count="1">
    <mergeCell ref="E6:E7"/>
  </mergeCell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120" zoomScaleNormal="120" workbookViewId="0"/>
  </sheetViews>
  <sheetFormatPr defaultColWidth="73.6640625" defaultRowHeight="14.4" x14ac:dyDescent="0.3"/>
  <cols>
    <col min="1" max="1" width="6.44140625" bestFit="1" customWidth="1"/>
    <col min="2" max="2" width="17.44140625" bestFit="1" customWidth="1"/>
    <col min="3" max="3" width="14.88671875" bestFit="1" customWidth="1"/>
    <col min="4" max="4" width="3.77734375" bestFit="1" customWidth="1"/>
    <col min="5" max="5" width="22.33203125" customWidth="1"/>
    <col min="6" max="6" width="58.44140625" bestFit="1" customWidth="1"/>
  </cols>
  <sheetData>
    <row r="1" spans="1:6" ht="17.399999999999999" thickBot="1" x14ac:dyDescent="0.35">
      <c r="A1" s="458"/>
      <c r="B1" s="459"/>
      <c r="C1" s="460" t="s">
        <v>240</v>
      </c>
      <c r="D1" s="461"/>
      <c r="E1" s="461"/>
      <c r="F1" s="461"/>
    </row>
    <row r="2" spans="1:6" ht="15" thickBot="1" x14ac:dyDescent="0.35">
      <c r="A2" s="462"/>
      <c r="B2" s="463" t="s">
        <v>241</v>
      </c>
      <c r="C2" s="464">
        <v>32</v>
      </c>
      <c r="D2" s="461"/>
      <c r="E2" s="461"/>
      <c r="F2" s="461"/>
    </row>
    <row r="3" spans="1:6" ht="15" thickBot="1" x14ac:dyDescent="0.35">
      <c r="A3" s="462"/>
      <c r="B3" s="463" t="s">
        <v>242</v>
      </c>
      <c r="C3" s="464">
        <v>22</v>
      </c>
      <c r="D3" s="461"/>
      <c r="E3" s="461"/>
      <c r="F3" s="461"/>
    </row>
    <row r="4" spans="1:6" ht="15" thickBot="1" x14ac:dyDescent="0.35">
      <c r="A4" s="461" t="s">
        <v>243</v>
      </c>
      <c r="B4" s="461"/>
      <c r="C4" s="461"/>
      <c r="D4" s="461"/>
      <c r="E4" s="461"/>
      <c r="F4" s="461"/>
    </row>
    <row r="5" spans="1:6" ht="15" thickBot="1" x14ac:dyDescent="0.35">
      <c r="A5" s="565" t="s">
        <v>244</v>
      </c>
      <c r="B5" s="565" t="s">
        <v>245</v>
      </c>
      <c r="C5" s="565" t="s">
        <v>246</v>
      </c>
      <c r="D5" s="567" t="s">
        <v>247</v>
      </c>
      <c r="E5" s="568"/>
      <c r="F5" s="465" t="s">
        <v>248</v>
      </c>
    </row>
    <row r="6" spans="1:6" ht="17.399999999999999" thickBot="1" x14ac:dyDescent="0.35">
      <c r="A6" s="566"/>
      <c r="B6" s="566"/>
      <c r="C6" s="566"/>
      <c r="D6" s="569"/>
      <c r="E6" s="570"/>
      <c r="F6" s="466" t="s">
        <v>249</v>
      </c>
    </row>
    <row r="7" spans="1:6" ht="15" thickBot="1" x14ac:dyDescent="0.35">
      <c r="A7" s="571">
        <v>5</v>
      </c>
      <c r="B7" s="464" t="s">
        <v>250</v>
      </c>
      <c r="C7" s="464" t="s">
        <v>251</v>
      </c>
      <c r="D7" s="464">
        <v>1.5</v>
      </c>
      <c r="E7" s="467" t="s">
        <v>252</v>
      </c>
      <c r="F7" s="464">
        <f>C2*D7</f>
        <v>48</v>
      </c>
    </row>
    <row r="8" spans="1:6" ht="15" thickBot="1" x14ac:dyDescent="0.35">
      <c r="A8" s="572"/>
      <c r="B8" s="464" t="s">
        <v>253</v>
      </c>
      <c r="C8" s="464" t="s">
        <v>254</v>
      </c>
      <c r="D8" s="464">
        <v>3</v>
      </c>
      <c r="E8" s="467" t="s">
        <v>252</v>
      </c>
      <c r="F8" s="468">
        <f>C2*D8</f>
        <v>96</v>
      </c>
    </row>
    <row r="9" spans="1:6" ht="15" thickBot="1" x14ac:dyDescent="0.35">
      <c r="A9" s="572"/>
      <c r="B9" s="464" t="s">
        <v>255</v>
      </c>
      <c r="C9" s="464" t="s">
        <v>256</v>
      </c>
      <c r="D9" s="464">
        <v>1</v>
      </c>
      <c r="E9" s="467" t="s">
        <v>257</v>
      </c>
      <c r="F9" s="464">
        <f>C3*D9</f>
        <v>22</v>
      </c>
    </row>
    <row r="10" spans="1:6" ht="15" thickBot="1" x14ac:dyDescent="0.35">
      <c r="A10" s="573"/>
      <c r="B10" s="464" t="s">
        <v>258</v>
      </c>
      <c r="C10" s="464" t="s">
        <v>259</v>
      </c>
      <c r="D10" s="463"/>
      <c r="E10" s="463"/>
      <c r="F10" s="464">
        <v>6</v>
      </c>
    </row>
    <row r="11" spans="1:6" x14ac:dyDescent="0.3">
      <c r="A11" s="577" t="s">
        <v>315</v>
      </c>
      <c r="B11" s="577"/>
      <c r="C11" s="577"/>
      <c r="D11" s="577"/>
      <c r="E11" s="577"/>
      <c r="F11" s="469">
        <v>96</v>
      </c>
    </row>
    <row r="14" spans="1:6" ht="16.2" thickBot="1" x14ac:dyDescent="0.35">
      <c r="A14" s="470" t="s">
        <v>260</v>
      </c>
      <c r="B14" s="470"/>
      <c r="C14" s="471"/>
      <c r="D14" s="472"/>
      <c r="E14" s="472"/>
      <c r="F14" s="472"/>
    </row>
    <row r="15" spans="1:6" ht="16.2" thickBot="1" x14ac:dyDescent="0.35">
      <c r="A15" s="555" t="s">
        <v>244</v>
      </c>
      <c r="B15" s="555" t="s">
        <v>245</v>
      </c>
      <c r="C15" s="555" t="s">
        <v>246</v>
      </c>
      <c r="D15" s="557" t="s">
        <v>247</v>
      </c>
      <c r="E15" s="558"/>
      <c r="F15" s="473" t="s">
        <v>248</v>
      </c>
    </row>
    <row r="16" spans="1:6" ht="18.600000000000001" thickBot="1" x14ac:dyDescent="0.35">
      <c r="A16" s="556"/>
      <c r="B16" s="556"/>
      <c r="C16" s="556"/>
      <c r="D16" s="559"/>
      <c r="E16" s="560"/>
      <c r="F16" s="474" t="s">
        <v>261</v>
      </c>
    </row>
    <row r="17" spans="1:6" ht="16.2" thickBot="1" x14ac:dyDescent="0.35">
      <c r="A17" s="561">
        <v>5</v>
      </c>
      <c r="B17" s="475" t="s">
        <v>250</v>
      </c>
      <c r="C17" s="475" t="s">
        <v>251</v>
      </c>
      <c r="D17" s="475">
        <v>1.5</v>
      </c>
      <c r="E17" s="476" t="s">
        <v>252</v>
      </c>
      <c r="F17" s="464">
        <f>C2*D17</f>
        <v>48</v>
      </c>
    </row>
    <row r="18" spans="1:6" ht="16.2" thickBot="1" x14ac:dyDescent="0.35">
      <c r="A18" s="562"/>
      <c r="B18" s="475" t="s">
        <v>253</v>
      </c>
      <c r="C18" s="475" t="s">
        <v>251</v>
      </c>
      <c r="D18" s="475">
        <v>1.5</v>
      </c>
      <c r="E18" s="476" t="s">
        <v>252</v>
      </c>
      <c r="F18" s="464">
        <f>C2*D18</f>
        <v>48</v>
      </c>
    </row>
    <row r="19" spans="1:6" ht="19.8" customHeight="1" thickBot="1" x14ac:dyDescent="0.35">
      <c r="A19" s="562"/>
      <c r="B19" s="475" t="s">
        <v>255</v>
      </c>
      <c r="C19" s="475" t="s">
        <v>256</v>
      </c>
      <c r="D19" s="475">
        <v>1</v>
      </c>
      <c r="E19" s="476" t="s">
        <v>257</v>
      </c>
      <c r="F19" s="464">
        <f>C3*D19</f>
        <v>22</v>
      </c>
    </row>
    <row r="20" spans="1:6" ht="16.2" thickBot="1" x14ac:dyDescent="0.35">
      <c r="A20" s="563"/>
      <c r="B20" s="475" t="s">
        <v>258</v>
      </c>
      <c r="C20" s="475" t="s">
        <v>259</v>
      </c>
      <c r="D20" s="476"/>
      <c r="E20" s="476"/>
      <c r="F20" s="477">
        <v>52</v>
      </c>
    </row>
    <row r="21" spans="1:6" ht="15.6" x14ac:dyDescent="0.3">
      <c r="A21" s="564" t="s">
        <v>315</v>
      </c>
      <c r="B21" s="564"/>
      <c r="C21" s="564"/>
      <c r="D21" s="564"/>
      <c r="E21" s="564"/>
      <c r="F21" s="478">
        <v>52</v>
      </c>
    </row>
  </sheetData>
  <mergeCells count="12">
    <mergeCell ref="A21:E21"/>
    <mergeCell ref="A5:A6"/>
    <mergeCell ref="B5:B6"/>
    <mergeCell ref="C5:C6"/>
    <mergeCell ref="D5:E6"/>
    <mergeCell ref="A7:A10"/>
    <mergeCell ref="A11:E11"/>
    <mergeCell ref="A15:A16"/>
    <mergeCell ref="B15:B16"/>
    <mergeCell ref="C15:C16"/>
    <mergeCell ref="D15:E16"/>
    <mergeCell ref="A17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5</vt:i4>
      </vt:variant>
    </vt:vector>
  </HeadingPairs>
  <TitlesOfParts>
    <vt:vector size="9" baseType="lpstr">
      <vt:lpstr>9 TV</vt:lpstr>
      <vt:lpstr>10 TV</vt:lpstr>
      <vt:lpstr>Primemerná spotreba</vt:lpstr>
      <vt:lpstr>Kombinácia náhradných spotrieb</vt:lpstr>
      <vt:lpstr>kneumoznil</vt:lpstr>
      <vt:lpstr>kporucha</vt:lpstr>
      <vt:lpstr>kposkodil</vt:lpstr>
      <vt:lpstr>p5a6</vt:lpstr>
      <vt:lpstr>pporucha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2023-11-13T20:55:47Z</dcterms:modified>
  <cp:contentStatus/>
</cp:coreProperties>
</file>